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677F32A4-8ADF-4C1F-8616-10761666D698}" xr6:coauthVersionLast="47" xr6:coauthVersionMax="47" xr10:uidLastSave="{00000000-0000-0000-0000-000000000000}"/>
  <workbookProtection workbookAlgorithmName="SHA-512" workbookHashValue="eBVoH8fb0VX3gmfR+87mg4D0a3r/AEsCYdc0Yh0o998LaRpc7qEWMT9/nVV8KF4Wc3ecnyaVOc7298cMp0NAQA==" workbookSaltValue="s47hWW4wIdkywl+cy7JnfA==" workbookSpinCount="100000" lockStructure="1"/>
  <bookViews>
    <workbookView xWindow="-120" yWindow="-120" windowWidth="19440" windowHeight="15000" tabRatio="602" xr2:uid="{00000000-000D-0000-FFFF-FFFF00000000}"/>
  </bookViews>
  <sheets>
    <sheet name="Haustechnikvarianten gesamt" sheetId="1" r:id="rId1"/>
    <sheet name="Haustechnikvarianten berechnen" sheetId="5" r:id="rId2"/>
  </sheets>
  <definedNames>
    <definedName name="_xlnm.Print_Area" localSheetId="1">'Haustechnikvarianten berechnen'!$A$1:$T$68</definedName>
    <definedName name="_xlnm.Print_Area" localSheetId="0">'Haustechnikvarianten gesamt'!$A$1:$Y$64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43" i="1"/>
  <c r="V26" i="1"/>
  <c r="U26" i="1"/>
  <c r="T26" i="1"/>
  <c r="S26" i="1"/>
  <c r="R26" i="1"/>
  <c r="Q26" i="1"/>
  <c r="P26" i="1"/>
  <c r="O26" i="1"/>
  <c r="D26" i="1"/>
  <c r="E26" i="1"/>
  <c r="F26" i="1"/>
  <c r="G26" i="1"/>
  <c r="H26" i="1"/>
  <c r="I26" i="1"/>
  <c r="J26" i="1"/>
  <c r="K26" i="1"/>
  <c r="C26" i="1"/>
  <c r="H33" i="5"/>
  <c r="I33" i="5"/>
  <c r="G33" i="5"/>
  <c r="D31" i="5"/>
  <c r="E31" i="5"/>
  <c r="F31" i="5"/>
  <c r="G31" i="5"/>
  <c r="H31" i="5"/>
  <c r="I31" i="5"/>
  <c r="C31" i="5"/>
  <c r="D39" i="5"/>
  <c r="B9" i="5"/>
  <c r="I39" i="5"/>
  <c r="E48" i="5" l="1"/>
  <c r="D48" i="5"/>
  <c r="F48" i="5"/>
  <c r="G48" i="5"/>
  <c r="H48" i="5"/>
  <c r="I48" i="5"/>
  <c r="C48" i="5"/>
  <c r="F10" i="5"/>
  <c r="G28" i="5"/>
  <c r="G39" i="5"/>
  <c r="G42" i="5"/>
  <c r="G43" i="5"/>
  <c r="G52" i="5"/>
  <c r="G53" i="5"/>
  <c r="G72" i="5"/>
  <c r="G75" i="5"/>
  <c r="D17" i="5"/>
  <c r="D15" i="5"/>
  <c r="D13" i="5"/>
  <c r="D12" i="5"/>
  <c r="D11" i="5"/>
  <c r="D10" i="5"/>
  <c r="D8" i="5"/>
  <c r="D7" i="5"/>
  <c r="D6" i="5"/>
  <c r="D5" i="5"/>
  <c r="G73" i="5" l="1"/>
  <c r="J71" i="1"/>
  <c r="J70" i="1"/>
  <c r="J68" i="1"/>
  <c r="J67" i="1"/>
  <c r="J47" i="1"/>
  <c r="J43" i="1"/>
  <c r="J41" i="1"/>
  <c r="J37" i="1"/>
  <c r="J28" i="1"/>
  <c r="J48" i="1" s="1"/>
  <c r="J34" i="1"/>
  <c r="J38" i="1" s="1"/>
  <c r="J23" i="1"/>
  <c r="U71" i="1"/>
  <c r="U70" i="1"/>
  <c r="U68" i="1"/>
  <c r="U67" i="1"/>
  <c r="U47" i="1"/>
  <c r="U43" i="1"/>
  <c r="U41" i="1"/>
  <c r="U37" i="1"/>
  <c r="U28" i="1"/>
  <c r="U48" i="1" s="1"/>
  <c r="U34" i="1"/>
  <c r="U38" i="1" s="1"/>
  <c r="U23" i="1"/>
  <c r="R71" i="1"/>
  <c r="R70" i="1"/>
  <c r="R68" i="1"/>
  <c r="R67" i="1"/>
  <c r="R47" i="1"/>
  <c r="R43" i="1"/>
  <c r="R41" i="1"/>
  <c r="R37" i="1"/>
  <c r="R28" i="1"/>
  <c r="R48" i="1" s="1"/>
  <c r="R34" i="1"/>
  <c r="R38" i="1" s="1"/>
  <c r="R23" i="1"/>
  <c r="G71" i="1"/>
  <c r="G70" i="1"/>
  <c r="G68" i="1"/>
  <c r="G67" i="1"/>
  <c r="G47" i="1"/>
  <c r="G43" i="1"/>
  <c r="G41" i="1"/>
  <c r="G37" i="1"/>
  <c r="G28" i="1"/>
  <c r="G48" i="1" s="1"/>
  <c r="G34" i="1"/>
  <c r="G38" i="1" s="1"/>
  <c r="G23" i="1"/>
  <c r="H71" i="1"/>
  <c r="H70" i="1"/>
  <c r="H68" i="1"/>
  <c r="H67" i="1"/>
  <c r="H47" i="1"/>
  <c r="H43" i="1"/>
  <c r="H41" i="1"/>
  <c r="H37" i="1"/>
  <c r="H28" i="1"/>
  <c r="H48" i="1" s="1"/>
  <c r="H34" i="1"/>
  <c r="H38" i="1" s="1"/>
  <c r="H23" i="1"/>
  <c r="P71" i="1"/>
  <c r="P70" i="1"/>
  <c r="P68" i="1"/>
  <c r="P67" i="1"/>
  <c r="P48" i="1"/>
  <c r="P47" i="1"/>
  <c r="P43" i="1"/>
  <c r="P41" i="1"/>
  <c r="P37" i="1"/>
  <c r="P34" i="1"/>
  <c r="P38" i="1" s="1"/>
  <c r="P23" i="1"/>
  <c r="D67" i="1"/>
  <c r="E67" i="1"/>
  <c r="D68" i="1"/>
  <c r="E68" i="1"/>
  <c r="D69" i="1"/>
  <c r="D70" i="1"/>
  <c r="E70" i="1"/>
  <c r="D77" i="1"/>
  <c r="D78" i="1"/>
  <c r="E78" i="1"/>
  <c r="D79" i="1"/>
  <c r="D81" i="1"/>
  <c r="E81" i="1"/>
  <c r="E47" i="1"/>
  <c r="D47" i="1"/>
  <c r="D43" i="1"/>
  <c r="E40" i="1"/>
  <c r="D40" i="1"/>
  <c r="E37" i="1"/>
  <c r="D37" i="1"/>
  <c r="E34" i="1"/>
  <c r="E38" i="1" s="1"/>
  <c r="D34" i="1"/>
  <c r="D38" i="1" s="1"/>
  <c r="E23" i="1"/>
  <c r="D23" i="1"/>
  <c r="D75" i="5"/>
  <c r="D73" i="5"/>
  <c r="D72" i="5"/>
  <c r="D52" i="5"/>
  <c r="D42" i="5"/>
  <c r="D43" i="5"/>
  <c r="D28" i="5"/>
  <c r="E52" i="5"/>
  <c r="E72" i="5"/>
  <c r="E73" i="5"/>
  <c r="E75" i="5"/>
  <c r="E42" i="5"/>
  <c r="E39" i="5"/>
  <c r="E43" i="5" s="1"/>
  <c r="E28" i="5"/>
  <c r="C45" i="5"/>
  <c r="D45" i="5" s="1"/>
  <c r="E45" i="5" s="1"/>
  <c r="F45" i="5" s="1"/>
  <c r="G45" i="5" s="1"/>
  <c r="H45" i="5" s="1"/>
  <c r="I45" i="5" s="1"/>
  <c r="J45" i="5" s="1"/>
  <c r="K45" i="5" s="1"/>
  <c r="K37" i="5"/>
  <c r="J37" i="5"/>
  <c r="K36" i="5"/>
  <c r="J36" i="5"/>
  <c r="X32" i="1"/>
  <c r="W32" i="1"/>
  <c r="X31" i="1"/>
  <c r="X43" i="1" s="1"/>
  <c r="X44" i="1" s="1"/>
  <c r="W31" i="1"/>
  <c r="W43" i="1" s="1"/>
  <c r="W44" i="1" s="1"/>
  <c r="M32" i="1"/>
  <c r="L32" i="1"/>
  <c r="M31" i="1"/>
  <c r="M43" i="1" s="1"/>
  <c r="M44" i="1" s="1"/>
  <c r="L31" i="1"/>
  <c r="L43" i="1" s="1"/>
  <c r="L44" i="1" s="1"/>
  <c r="B58" i="5"/>
  <c r="L53" i="1"/>
  <c r="M53" i="1"/>
  <c r="N53" i="1"/>
  <c r="W53" i="1"/>
  <c r="X53" i="1"/>
  <c r="B53" i="1"/>
  <c r="I28" i="5"/>
  <c r="F28" i="5"/>
  <c r="H28" i="5"/>
  <c r="C28" i="5"/>
  <c r="V23" i="1"/>
  <c r="T23" i="1"/>
  <c r="Q23" i="1"/>
  <c r="S23" i="1"/>
  <c r="O23" i="1"/>
  <c r="F23" i="1"/>
  <c r="I23" i="1"/>
  <c r="K23" i="1"/>
  <c r="C23" i="1"/>
  <c r="B83" i="1"/>
  <c r="B80" i="1"/>
  <c r="X71" i="1"/>
  <c r="W71" i="1"/>
  <c r="V71" i="1"/>
  <c r="T71" i="1"/>
  <c r="Q71" i="1"/>
  <c r="S71" i="1"/>
  <c r="O71" i="1"/>
  <c r="N71" i="1"/>
  <c r="M71" i="1"/>
  <c r="L71" i="1"/>
  <c r="K71" i="1"/>
  <c r="I71" i="1"/>
  <c r="F71" i="1"/>
  <c r="C71" i="1"/>
  <c r="X70" i="1"/>
  <c r="W70" i="1"/>
  <c r="V70" i="1"/>
  <c r="T70" i="1"/>
  <c r="Q70" i="1"/>
  <c r="S70" i="1"/>
  <c r="O70" i="1"/>
  <c r="N70" i="1"/>
  <c r="M70" i="1"/>
  <c r="L70" i="1"/>
  <c r="K70" i="1"/>
  <c r="I70" i="1"/>
  <c r="F70" i="1"/>
  <c r="C70" i="1"/>
  <c r="X68" i="1"/>
  <c r="W68" i="1"/>
  <c r="V68" i="1"/>
  <c r="T68" i="1"/>
  <c r="Q68" i="1"/>
  <c r="S68" i="1"/>
  <c r="O68" i="1"/>
  <c r="N68" i="1"/>
  <c r="M68" i="1"/>
  <c r="L68" i="1"/>
  <c r="K68" i="1"/>
  <c r="I68" i="1"/>
  <c r="F68" i="1"/>
  <c r="C68" i="1"/>
  <c r="X67" i="1"/>
  <c r="W67" i="1"/>
  <c r="V67" i="1"/>
  <c r="T67" i="1"/>
  <c r="Q67" i="1"/>
  <c r="S67" i="1"/>
  <c r="O67" i="1"/>
  <c r="N67" i="1"/>
  <c r="M67" i="1"/>
  <c r="L67" i="1"/>
  <c r="K67" i="1"/>
  <c r="I67" i="1"/>
  <c r="F67" i="1"/>
  <c r="C67" i="1"/>
  <c r="B67" i="1"/>
  <c r="J72" i="5"/>
  <c r="K72" i="5"/>
  <c r="J73" i="5"/>
  <c r="K73" i="5"/>
  <c r="J74" i="5"/>
  <c r="K74" i="5"/>
  <c r="J75" i="5"/>
  <c r="K75" i="5"/>
  <c r="J82" i="5"/>
  <c r="K82" i="5"/>
  <c r="J83" i="5"/>
  <c r="K83" i="5"/>
  <c r="J84" i="5"/>
  <c r="K84" i="5"/>
  <c r="J86" i="5"/>
  <c r="K86" i="5"/>
  <c r="H72" i="5"/>
  <c r="F72" i="5"/>
  <c r="I72" i="5"/>
  <c r="H73" i="5"/>
  <c r="F73" i="5"/>
  <c r="I73" i="5"/>
  <c r="H74" i="5"/>
  <c r="F74" i="5"/>
  <c r="I74" i="5"/>
  <c r="H75" i="5"/>
  <c r="F75" i="5"/>
  <c r="I75" i="5"/>
  <c r="H82" i="5"/>
  <c r="F82" i="5"/>
  <c r="I82" i="5"/>
  <c r="H83" i="5"/>
  <c r="F83" i="5"/>
  <c r="I83" i="5"/>
  <c r="H84" i="5"/>
  <c r="F84" i="5"/>
  <c r="I84" i="5"/>
  <c r="H86" i="5"/>
  <c r="F86" i="5"/>
  <c r="I86" i="5"/>
  <c r="C76" i="5"/>
  <c r="C85" i="5" s="1"/>
  <c r="C75" i="5"/>
  <c r="C73" i="5"/>
  <c r="C72" i="5"/>
  <c r="C83" i="5" s="1"/>
  <c r="C86" i="5" s="1"/>
  <c r="C74" i="5"/>
  <c r="C82" i="5"/>
  <c r="C84" i="5" s="1"/>
  <c r="C88" i="5"/>
  <c r="C89" i="5"/>
  <c r="C91" i="5"/>
  <c r="B72" i="5"/>
  <c r="B88" i="5"/>
  <c r="B83" i="5"/>
  <c r="B89" i="5"/>
  <c r="B86" i="5"/>
  <c r="B85" i="5"/>
  <c r="B74" i="5"/>
  <c r="B59" i="5"/>
  <c r="I52" i="5"/>
  <c r="F52" i="5"/>
  <c r="H52" i="5"/>
  <c r="C52" i="5"/>
  <c r="C46" i="5"/>
  <c r="B46" i="5"/>
  <c r="K42" i="5"/>
  <c r="J42" i="5"/>
  <c r="I42" i="5"/>
  <c r="F42" i="5"/>
  <c r="H42" i="5"/>
  <c r="C42" i="5"/>
  <c r="K39" i="5"/>
  <c r="K43" i="5" s="1"/>
  <c r="J39" i="5"/>
  <c r="J43" i="5" s="1"/>
  <c r="B43" i="5"/>
  <c r="B52" i="5" s="1"/>
  <c r="I53" i="5"/>
  <c r="H53" i="5"/>
  <c r="I43" i="5"/>
  <c r="I44" i="5" s="1"/>
  <c r="F39" i="5"/>
  <c r="F43" i="5" s="1"/>
  <c r="F44" i="5" s="1"/>
  <c r="H39" i="5"/>
  <c r="H43" i="5" s="1"/>
  <c r="H44" i="5" s="1"/>
  <c r="C41" i="1"/>
  <c r="F41" i="1"/>
  <c r="I41" i="1"/>
  <c r="K41" i="1"/>
  <c r="L41" i="1"/>
  <c r="M41" i="1"/>
  <c r="N41" i="1"/>
  <c r="O41" i="1"/>
  <c r="S41" i="1"/>
  <c r="Q41" i="1"/>
  <c r="T41" i="1"/>
  <c r="V41" i="1"/>
  <c r="W41" i="1"/>
  <c r="X41" i="1"/>
  <c r="B41" i="1"/>
  <c r="X54" i="1"/>
  <c r="W54" i="1"/>
  <c r="X37" i="1"/>
  <c r="W37" i="1"/>
  <c r="X34" i="1"/>
  <c r="X38" i="1" s="1"/>
  <c r="W34" i="1"/>
  <c r="W38" i="1" s="1"/>
  <c r="L54" i="1"/>
  <c r="M54" i="1"/>
  <c r="L37" i="1"/>
  <c r="M37" i="1"/>
  <c r="M34" i="1"/>
  <c r="M38" i="1" s="1"/>
  <c r="L34" i="1"/>
  <c r="L38" i="1" s="1"/>
  <c r="Q54" i="1"/>
  <c r="N54" i="1"/>
  <c r="V47" i="1"/>
  <c r="T47" i="1"/>
  <c r="Q47" i="1"/>
  <c r="S47" i="1"/>
  <c r="O47" i="1"/>
  <c r="N46" i="1"/>
  <c r="V43" i="1"/>
  <c r="T43" i="1"/>
  <c r="Q43" i="1"/>
  <c r="S43" i="1"/>
  <c r="O43" i="1"/>
  <c r="V37" i="1"/>
  <c r="T37" i="1"/>
  <c r="Q37" i="1"/>
  <c r="S37" i="1"/>
  <c r="O37" i="1"/>
  <c r="V28" i="1"/>
  <c r="V48" i="1" s="1"/>
  <c r="T28" i="1"/>
  <c r="T48" i="1" s="1"/>
  <c r="Q48" i="1"/>
  <c r="S28" i="1"/>
  <c r="S48" i="1" s="1"/>
  <c r="O48" i="1"/>
  <c r="N48" i="1"/>
  <c r="V34" i="1"/>
  <c r="V38" i="1" s="1"/>
  <c r="T34" i="1"/>
  <c r="T38" i="1" s="1"/>
  <c r="Q34" i="1"/>
  <c r="Q38" i="1" s="1"/>
  <c r="S34" i="1"/>
  <c r="S38" i="1" s="1"/>
  <c r="O34" i="1"/>
  <c r="O38" i="1" s="1"/>
  <c r="N34" i="1"/>
  <c r="N38" i="1" s="1"/>
  <c r="N47" i="1" s="1"/>
  <c r="F47" i="1"/>
  <c r="I47" i="1"/>
  <c r="K47" i="1"/>
  <c r="C47" i="1"/>
  <c r="I28" i="1"/>
  <c r="I48" i="1" s="1"/>
  <c r="K28" i="1"/>
  <c r="K48" i="1" s="1"/>
  <c r="F34" i="1"/>
  <c r="I34" i="1"/>
  <c r="K34" i="1"/>
  <c r="C34" i="1"/>
  <c r="E5" i="1"/>
  <c r="F54" i="1"/>
  <c r="B54" i="1"/>
  <c r="F43" i="1"/>
  <c r="I43" i="1"/>
  <c r="K43" i="1"/>
  <c r="B34" i="1"/>
  <c r="K48" i="5" l="1"/>
  <c r="K49" i="5" s="1"/>
  <c r="C39" i="5"/>
  <c r="C43" i="5" s="1"/>
  <c r="C44" i="5" s="1"/>
  <c r="J48" i="5"/>
  <c r="J49" i="5" s="1"/>
  <c r="G44" i="5"/>
  <c r="G74" i="5"/>
  <c r="G83" i="5"/>
  <c r="U42" i="1"/>
  <c r="J42" i="1"/>
  <c r="J78" i="1"/>
  <c r="J81" i="1" s="1"/>
  <c r="J69" i="1"/>
  <c r="J83" i="1"/>
  <c r="J84" i="1" s="1"/>
  <c r="J80" i="1"/>
  <c r="U78" i="1"/>
  <c r="U81" i="1" s="1"/>
  <c r="U69" i="1"/>
  <c r="U83" i="1"/>
  <c r="U84" i="1" s="1"/>
  <c r="U80" i="1"/>
  <c r="G42" i="1"/>
  <c r="R42" i="1"/>
  <c r="R78" i="1"/>
  <c r="R81" i="1" s="1"/>
  <c r="R69" i="1"/>
  <c r="R83" i="1"/>
  <c r="R84" i="1" s="1"/>
  <c r="R80" i="1"/>
  <c r="G78" i="1"/>
  <c r="G81" i="1" s="1"/>
  <c r="G69" i="1"/>
  <c r="G83" i="1"/>
  <c r="G84" i="1" s="1"/>
  <c r="G80" i="1"/>
  <c r="P42" i="1"/>
  <c r="H42" i="1"/>
  <c r="H78" i="1"/>
  <c r="H81" i="1" s="1"/>
  <c r="H69" i="1"/>
  <c r="H83" i="1"/>
  <c r="H84" i="1" s="1"/>
  <c r="H80" i="1"/>
  <c r="D71" i="1"/>
  <c r="D42" i="1"/>
  <c r="E42" i="1"/>
  <c r="E71" i="1"/>
  <c r="D53" i="1"/>
  <c r="E53" i="1"/>
  <c r="E69" i="1"/>
  <c r="P53" i="1"/>
  <c r="P78" i="1"/>
  <c r="P81" i="1" s="1"/>
  <c r="P69" i="1"/>
  <c r="P83" i="1"/>
  <c r="P84" i="1" s="1"/>
  <c r="P80" i="1"/>
  <c r="D41" i="1"/>
  <c r="E41" i="1"/>
  <c r="D76" i="5"/>
  <c r="D58" i="5"/>
  <c r="D47" i="5"/>
  <c r="D46" i="5"/>
  <c r="E74" i="5"/>
  <c r="E82" i="5" s="1"/>
  <c r="E84" i="5" s="1"/>
  <c r="D44" i="5"/>
  <c r="D83" i="5"/>
  <c r="D86" i="5" s="1"/>
  <c r="D74" i="5"/>
  <c r="C87" i="5"/>
  <c r="E44" i="5"/>
  <c r="E83" i="5"/>
  <c r="K51" i="5"/>
  <c r="J51" i="5"/>
  <c r="C58" i="5"/>
  <c r="C53" i="1"/>
  <c r="O53" i="1"/>
  <c r="Q53" i="1"/>
  <c r="Q46" i="1"/>
  <c r="B78" i="1"/>
  <c r="B69" i="1"/>
  <c r="C78" i="1"/>
  <c r="C81" i="1" s="1"/>
  <c r="C69" i="1"/>
  <c r="F78" i="1"/>
  <c r="F81" i="1" s="1"/>
  <c r="F69" i="1"/>
  <c r="I78" i="1"/>
  <c r="I81" i="1" s="1"/>
  <c r="I69" i="1"/>
  <c r="K78" i="1"/>
  <c r="K81" i="1" s="1"/>
  <c r="K69" i="1"/>
  <c r="L78" i="1"/>
  <c r="L81" i="1" s="1"/>
  <c r="L69" i="1"/>
  <c r="M78" i="1"/>
  <c r="M81" i="1" s="1"/>
  <c r="M69" i="1"/>
  <c r="N78" i="1"/>
  <c r="N81" i="1" s="1"/>
  <c r="N69" i="1"/>
  <c r="O78" i="1"/>
  <c r="O81" i="1" s="1"/>
  <c r="O69" i="1"/>
  <c r="S78" i="1"/>
  <c r="S81" i="1" s="1"/>
  <c r="S69" i="1"/>
  <c r="Q78" i="1"/>
  <c r="Q81" i="1" s="1"/>
  <c r="Q69" i="1"/>
  <c r="T78" i="1"/>
  <c r="T81" i="1" s="1"/>
  <c r="T69" i="1"/>
  <c r="V78" i="1"/>
  <c r="V81" i="1" s="1"/>
  <c r="V69" i="1"/>
  <c r="W78" i="1"/>
  <c r="W81" i="1" s="1"/>
  <c r="W69" i="1"/>
  <c r="X78" i="1"/>
  <c r="X81" i="1" s="1"/>
  <c r="X69" i="1"/>
  <c r="C83" i="1"/>
  <c r="C84" i="1" s="1"/>
  <c r="C80" i="1"/>
  <c r="F83" i="1"/>
  <c r="F84" i="1" s="1"/>
  <c r="F80" i="1"/>
  <c r="I83" i="1"/>
  <c r="I84" i="1" s="1"/>
  <c r="I80" i="1"/>
  <c r="K83" i="1"/>
  <c r="K84" i="1" s="1"/>
  <c r="K80" i="1"/>
  <c r="L83" i="1"/>
  <c r="L84" i="1" s="1"/>
  <c r="L80" i="1"/>
  <c r="M83" i="1"/>
  <c r="M84" i="1" s="1"/>
  <c r="M80" i="1"/>
  <c r="N83" i="1"/>
  <c r="N84" i="1" s="1"/>
  <c r="N80" i="1"/>
  <c r="O83" i="1"/>
  <c r="O84" i="1" s="1"/>
  <c r="O80" i="1"/>
  <c r="S83" i="1"/>
  <c r="S84" i="1" s="1"/>
  <c r="S80" i="1"/>
  <c r="Q83" i="1"/>
  <c r="Q84" i="1" s="1"/>
  <c r="Q80" i="1"/>
  <c r="T83" i="1"/>
  <c r="T84" i="1" s="1"/>
  <c r="T80" i="1"/>
  <c r="V83" i="1"/>
  <c r="V84" i="1" s="1"/>
  <c r="V80" i="1"/>
  <c r="W83" i="1"/>
  <c r="W84" i="1" s="1"/>
  <c r="W80" i="1"/>
  <c r="X83" i="1"/>
  <c r="X84" i="1" s="1"/>
  <c r="X80" i="1"/>
  <c r="B82" i="5"/>
  <c r="B84" i="5" s="1"/>
  <c r="B87" i="5" s="1"/>
  <c r="B91" i="5"/>
  <c r="B92" i="5"/>
  <c r="B90" i="5"/>
  <c r="C47" i="5"/>
  <c r="B47" i="5"/>
  <c r="B55" i="5" s="1"/>
  <c r="N55" i="5" s="1"/>
  <c r="J44" i="5"/>
  <c r="K44" i="5"/>
  <c r="C42" i="1"/>
  <c r="F42" i="1"/>
  <c r="I42" i="1"/>
  <c r="K42" i="1"/>
  <c r="L42" i="1"/>
  <c r="M42" i="1"/>
  <c r="N42" i="1"/>
  <c r="O42" i="1"/>
  <c r="S42" i="1"/>
  <c r="Q42" i="1"/>
  <c r="T42" i="1"/>
  <c r="V42" i="1"/>
  <c r="W42" i="1"/>
  <c r="X42" i="1"/>
  <c r="B42" i="1"/>
  <c r="X46" i="1"/>
  <c r="W46" i="1"/>
  <c r="M46" i="1"/>
  <c r="L46" i="1"/>
  <c r="N50" i="1"/>
  <c r="N51" i="1" s="1"/>
  <c r="Q50" i="1"/>
  <c r="G86" i="5" l="1"/>
  <c r="G82" i="5"/>
  <c r="G84" i="5" s="1"/>
  <c r="G46" i="5"/>
  <c r="G47" i="5"/>
  <c r="G76" i="5"/>
  <c r="J86" i="1"/>
  <c r="J77" i="1"/>
  <c r="J79" i="1" s="1"/>
  <c r="J82" i="1" s="1"/>
  <c r="U86" i="1"/>
  <c r="U77" i="1"/>
  <c r="U79" i="1" s="1"/>
  <c r="U82" i="1" s="1"/>
  <c r="R86" i="1"/>
  <c r="R77" i="1"/>
  <c r="R79" i="1" s="1"/>
  <c r="R82" i="1" s="1"/>
  <c r="G86" i="1"/>
  <c r="G77" i="1"/>
  <c r="G79" i="1" s="1"/>
  <c r="G82" i="1" s="1"/>
  <c r="H86" i="1"/>
  <c r="H77" i="1"/>
  <c r="H79" i="1" s="1"/>
  <c r="H82" i="1" s="1"/>
  <c r="E77" i="1"/>
  <c r="E79" i="1" s="1"/>
  <c r="E86" i="1"/>
  <c r="E80" i="1"/>
  <c r="E82" i="1" s="1"/>
  <c r="E83" i="1"/>
  <c r="E84" i="1" s="1"/>
  <c r="D80" i="1"/>
  <c r="D82" i="1" s="1"/>
  <c r="D83" i="1"/>
  <c r="D84" i="1" s="1"/>
  <c r="D86" i="1"/>
  <c r="D85" i="1" s="1"/>
  <c r="P86" i="1"/>
  <c r="P77" i="1"/>
  <c r="P79" i="1" s="1"/>
  <c r="P82" i="1" s="1"/>
  <c r="D91" i="5"/>
  <c r="D82" i="5"/>
  <c r="D84" i="5" s="1"/>
  <c r="D88" i="5"/>
  <c r="D89" i="5" s="1"/>
  <c r="D85" i="5"/>
  <c r="D87" i="5" s="1"/>
  <c r="E86" i="5"/>
  <c r="E58" i="5"/>
  <c r="E76" i="5"/>
  <c r="E47" i="5"/>
  <c r="E46" i="5"/>
  <c r="C92" i="5"/>
  <c r="C90" i="5"/>
  <c r="X86" i="1"/>
  <c r="X77" i="1"/>
  <c r="X79" i="1" s="1"/>
  <c r="X82" i="1" s="1"/>
  <c r="W86" i="1"/>
  <c r="W77" i="1"/>
  <c r="W79" i="1" s="1"/>
  <c r="W82" i="1" s="1"/>
  <c r="V86" i="1"/>
  <c r="V77" i="1"/>
  <c r="V79" i="1" s="1"/>
  <c r="V82" i="1" s="1"/>
  <c r="T86" i="1"/>
  <c r="T77" i="1"/>
  <c r="T79" i="1" s="1"/>
  <c r="T82" i="1" s="1"/>
  <c r="Q86" i="1"/>
  <c r="Q77" i="1"/>
  <c r="Q79" i="1" s="1"/>
  <c r="Q82" i="1" s="1"/>
  <c r="S86" i="1"/>
  <c r="S77" i="1"/>
  <c r="S79" i="1" s="1"/>
  <c r="S82" i="1" s="1"/>
  <c r="O86" i="1"/>
  <c r="O77" i="1"/>
  <c r="O79" i="1" s="1"/>
  <c r="O82" i="1" s="1"/>
  <c r="N86" i="1"/>
  <c r="N77" i="1"/>
  <c r="N79" i="1" s="1"/>
  <c r="N82" i="1" s="1"/>
  <c r="M86" i="1"/>
  <c r="M77" i="1"/>
  <c r="M79" i="1" s="1"/>
  <c r="M82" i="1" s="1"/>
  <c r="L86" i="1"/>
  <c r="L77" i="1"/>
  <c r="L79" i="1" s="1"/>
  <c r="L82" i="1" s="1"/>
  <c r="K86" i="1"/>
  <c r="K77" i="1"/>
  <c r="K79" i="1" s="1"/>
  <c r="K82" i="1" s="1"/>
  <c r="I86" i="1"/>
  <c r="I77" i="1"/>
  <c r="I79" i="1" s="1"/>
  <c r="I82" i="1" s="1"/>
  <c r="F86" i="1"/>
  <c r="F77" i="1"/>
  <c r="F79" i="1" s="1"/>
  <c r="F82" i="1" s="1"/>
  <c r="C86" i="1"/>
  <c r="C77" i="1"/>
  <c r="C79" i="1" s="1"/>
  <c r="C82" i="1" s="1"/>
  <c r="B86" i="1"/>
  <c r="B77" i="1"/>
  <c r="B79" i="1" s="1"/>
  <c r="B84" i="1"/>
  <c r="B81" i="1"/>
  <c r="B95" i="5"/>
  <c r="B96" i="5" s="1"/>
  <c r="B97" i="5" s="1"/>
  <c r="M50" i="1"/>
  <c r="L50" i="1"/>
  <c r="W50" i="1"/>
  <c r="X50" i="1"/>
  <c r="G85" i="5" l="1"/>
  <c r="G87" i="5" s="1"/>
  <c r="G88" i="5"/>
  <c r="G89" i="5" s="1"/>
  <c r="G91" i="5"/>
  <c r="J87" i="1"/>
  <c r="J85" i="1"/>
  <c r="U87" i="1"/>
  <c r="U85" i="1"/>
  <c r="R87" i="1"/>
  <c r="R85" i="1"/>
  <c r="G87" i="1"/>
  <c r="G85" i="1"/>
  <c r="H87" i="1"/>
  <c r="H85" i="1"/>
  <c r="D87" i="1"/>
  <c r="D90" i="1" s="1"/>
  <c r="D91" i="1" s="1"/>
  <c r="D92" i="1" s="1"/>
  <c r="E87" i="1"/>
  <c r="E85" i="1"/>
  <c r="P87" i="1"/>
  <c r="P85" i="1"/>
  <c r="D92" i="5"/>
  <c r="D90" i="5"/>
  <c r="C95" i="5"/>
  <c r="C96" i="5" s="1"/>
  <c r="C97" i="5"/>
  <c r="C49" i="5" s="1"/>
  <c r="H76" i="5"/>
  <c r="H46" i="5"/>
  <c r="H47" i="5"/>
  <c r="E85" i="5"/>
  <c r="E87" i="5" s="1"/>
  <c r="E88" i="5"/>
  <c r="E89" i="5" s="1"/>
  <c r="E91" i="5"/>
  <c r="E90" i="5" s="1"/>
  <c r="B82" i="1"/>
  <c r="C87" i="1"/>
  <c r="C85" i="1"/>
  <c r="F87" i="1"/>
  <c r="F85" i="1"/>
  <c r="I87" i="1"/>
  <c r="I85" i="1"/>
  <c r="K87" i="1"/>
  <c r="K85" i="1"/>
  <c r="L87" i="1"/>
  <c r="L85" i="1"/>
  <c r="M87" i="1"/>
  <c r="M85" i="1"/>
  <c r="N87" i="1"/>
  <c r="N85" i="1"/>
  <c r="O87" i="1"/>
  <c r="O85" i="1"/>
  <c r="S87" i="1"/>
  <c r="S85" i="1"/>
  <c r="Q87" i="1"/>
  <c r="Q85" i="1"/>
  <c r="T87" i="1"/>
  <c r="T85" i="1"/>
  <c r="V87" i="1"/>
  <c r="V85" i="1"/>
  <c r="W87" i="1"/>
  <c r="W85" i="1"/>
  <c r="X87" i="1"/>
  <c r="X85" i="1"/>
  <c r="F37" i="1"/>
  <c r="I37" i="1"/>
  <c r="K37" i="1"/>
  <c r="C37" i="1"/>
  <c r="G90" i="5" l="1"/>
  <c r="G92" i="5"/>
  <c r="J90" i="1"/>
  <c r="J91" i="1" s="1"/>
  <c r="U90" i="1"/>
  <c r="U91" i="1" s="1"/>
  <c r="R90" i="1"/>
  <c r="R91" i="1" s="1"/>
  <c r="G90" i="1"/>
  <c r="G91" i="1" s="1"/>
  <c r="H90" i="1"/>
  <c r="H91" i="1" s="1"/>
  <c r="E90" i="1"/>
  <c r="E91" i="1" s="1"/>
  <c r="E92" i="1"/>
  <c r="E44" i="1" s="1"/>
  <c r="E46" i="1" s="1"/>
  <c r="P90" i="1"/>
  <c r="P91" i="1" s="1"/>
  <c r="P92" i="1" s="1"/>
  <c r="P44" i="1" s="1"/>
  <c r="D44" i="1"/>
  <c r="D46" i="1" s="1"/>
  <c r="D95" i="5"/>
  <c r="D96" i="5" s="1"/>
  <c r="D97" i="5" s="1"/>
  <c r="D49" i="5" s="1"/>
  <c r="E92" i="5"/>
  <c r="E95" i="5" s="1"/>
  <c r="E96" i="5" s="1"/>
  <c r="E97" i="5" s="1"/>
  <c r="E49" i="5" s="1"/>
  <c r="H85" i="5"/>
  <c r="H87" i="5" s="1"/>
  <c r="H88" i="5"/>
  <c r="H89" i="5" s="1"/>
  <c r="H91" i="5"/>
  <c r="H90" i="5" s="1"/>
  <c r="F76" i="5"/>
  <c r="F46" i="5"/>
  <c r="F58" i="5"/>
  <c r="F47" i="5"/>
  <c r="C59" i="5"/>
  <c r="C51" i="5"/>
  <c r="C55" i="5" s="1"/>
  <c r="C57" i="5" s="1"/>
  <c r="X90" i="1"/>
  <c r="X91" i="1" s="1"/>
  <c r="X92" i="1" s="1"/>
  <c r="W90" i="1"/>
  <c r="W91" i="1" s="1"/>
  <c r="W92" i="1" s="1"/>
  <c r="V90" i="1"/>
  <c r="V91" i="1" s="1"/>
  <c r="T90" i="1"/>
  <c r="T91" i="1" s="1"/>
  <c r="Q90" i="1"/>
  <c r="Q91" i="1" s="1"/>
  <c r="Q92" i="1" s="1"/>
  <c r="S90" i="1"/>
  <c r="S91" i="1" s="1"/>
  <c r="O90" i="1"/>
  <c r="O91" i="1" s="1"/>
  <c r="O92" i="1" s="1"/>
  <c r="O44" i="1" s="1"/>
  <c r="O46" i="1" s="1"/>
  <c r="N90" i="1"/>
  <c r="N91" i="1" s="1"/>
  <c r="N92" i="1" s="1"/>
  <c r="M90" i="1"/>
  <c r="M91" i="1" s="1"/>
  <c r="M92" i="1" s="1"/>
  <c r="L90" i="1"/>
  <c r="L91" i="1" s="1"/>
  <c r="L92" i="1" s="1"/>
  <c r="K90" i="1"/>
  <c r="K91" i="1" s="1"/>
  <c r="I90" i="1"/>
  <c r="I91" i="1" s="1"/>
  <c r="F90" i="1"/>
  <c r="F91" i="1" s="1"/>
  <c r="C90" i="1"/>
  <c r="C91" i="1" s="1"/>
  <c r="C92" i="1" s="1"/>
  <c r="C44" i="1" s="1"/>
  <c r="C46" i="1" s="1"/>
  <c r="B87" i="1"/>
  <c r="B85" i="1"/>
  <c r="F38" i="1"/>
  <c r="B38" i="1"/>
  <c r="J39" i="1" s="1"/>
  <c r="C38" i="1"/>
  <c r="I38" i="1"/>
  <c r="K38" i="1"/>
  <c r="I92" i="1" l="1"/>
  <c r="I44" i="1" s="1"/>
  <c r="I45" i="1"/>
  <c r="I53" i="1" s="1"/>
  <c r="K92" i="1"/>
  <c r="K44" i="1" s="1"/>
  <c r="K45" i="1"/>
  <c r="K53" i="1" s="1"/>
  <c r="S92" i="1"/>
  <c r="S44" i="1" s="1"/>
  <c r="S45" i="1"/>
  <c r="S53" i="1" s="1"/>
  <c r="T92" i="1"/>
  <c r="T44" i="1" s="1"/>
  <c r="T45" i="1"/>
  <c r="T53" i="1" s="1"/>
  <c r="V92" i="1"/>
  <c r="V44" i="1" s="1"/>
  <c r="V45" i="1"/>
  <c r="V53" i="1" s="1"/>
  <c r="H92" i="1"/>
  <c r="H44" i="1" s="1"/>
  <c r="H45" i="1"/>
  <c r="H53" i="1" s="1"/>
  <c r="G92" i="1"/>
  <c r="G44" i="1" s="1"/>
  <c r="G45" i="1"/>
  <c r="G53" i="1" s="1"/>
  <c r="R92" i="1"/>
  <c r="R44" i="1" s="1"/>
  <c r="R45" i="1"/>
  <c r="R53" i="1" s="1"/>
  <c r="U92" i="1"/>
  <c r="U44" i="1" s="1"/>
  <c r="U45" i="1"/>
  <c r="U53" i="1" s="1"/>
  <c r="J92" i="1"/>
  <c r="J44" i="1" s="1"/>
  <c r="J45" i="1"/>
  <c r="J53" i="1" s="1"/>
  <c r="F92" i="1"/>
  <c r="G95" i="5"/>
  <c r="G96" i="5" s="1"/>
  <c r="G50" i="5" s="1"/>
  <c r="G58" i="5" s="1"/>
  <c r="G97" i="5"/>
  <c r="G49" i="5" s="1"/>
  <c r="J54" i="1"/>
  <c r="J46" i="1"/>
  <c r="J50" i="1" s="1"/>
  <c r="J52" i="1" s="1"/>
  <c r="R39" i="1"/>
  <c r="U39" i="1"/>
  <c r="U54" i="1"/>
  <c r="U46" i="1"/>
  <c r="U50" i="1" s="1"/>
  <c r="U52" i="1" s="1"/>
  <c r="R54" i="1"/>
  <c r="R46" i="1"/>
  <c r="R50" i="1" s="1"/>
  <c r="H39" i="1"/>
  <c r="G39" i="1"/>
  <c r="G54" i="1"/>
  <c r="G46" i="1"/>
  <c r="G50" i="1" s="1"/>
  <c r="G52" i="1" s="1"/>
  <c r="H54" i="1"/>
  <c r="H46" i="1"/>
  <c r="H50" i="1" s="1"/>
  <c r="H52" i="1" s="1"/>
  <c r="D39" i="1"/>
  <c r="E39" i="1"/>
  <c r="P39" i="1"/>
  <c r="P54" i="1"/>
  <c r="P46" i="1"/>
  <c r="P50" i="1" s="1"/>
  <c r="D54" i="1"/>
  <c r="D50" i="1"/>
  <c r="D52" i="1" s="1"/>
  <c r="E54" i="1"/>
  <c r="E50" i="1"/>
  <c r="E52" i="1" s="1"/>
  <c r="D59" i="5"/>
  <c r="D51" i="5"/>
  <c r="D55" i="5" s="1"/>
  <c r="D57" i="5" s="1"/>
  <c r="C56" i="5"/>
  <c r="F85" i="5"/>
  <c r="F87" i="5" s="1"/>
  <c r="F88" i="5"/>
  <c r="F89" i="5" s="1"/>
  <c r="F91" i="5"/>
  <c r="F90" i="5" s="1"/>
  <c r="I76" i="5"/>
  <c r="I46" i="5"/>
  <c r="I47" i="5"/>
  <c r="H92" i="5"/>
  <c r="H95" i="5" s="1"/>
  <c r="H96" i="5" s="1"/>
  <c r="E59" i="5"/>
  <c r="E51" i="5"/>
  <c r="E55" i="5" s="1"/>
  <c r="E57" i="5" s="1"/>
  <c r="C54" i="1"/>
  <c r="C50" i="1"/>
  <c r="I54" i="1"/>
  <c r="K54" i="1"/>
  <c r="O54" i="1"/>
  <c r="O50" i="1"/>
  <c r="S54" i="1"/>
  <c r="T54" i="1"/>
  <c r="V54" i="1"/>
  <c r="B90" i="1"/>
  <c r="B91" i="1" s="1"/>
  <c r="B92" i="1" s="1"/>
  <c r="L39" i="1"/>
  <c r="L52" i="1" s="1"/>
  <c r="M39" i="1"/>
  <c r="M52" i="1" s="1"/>
  <c r="W39" i="1"/>
  <c r="W52" i="1" s="1"/>
  <c r="X39" i="1"/>
  <c r="X52" i="1" s="1"/>
  <c r="O39" i="1"/>
  <c r="O52" i="1" s="1"/>
  <c r="S39" i="1"/>
  <c r="Q39" i="1"/>
  <c r="Q52" i="1" s="1"/>
  <c r="T39" i="1"/>
  <c r="V39" i="1"/>
  <c r="B47" i="1"/>
  <c r="K39" i="1"/>
  <c r="I39" i="1"/>
  <c r="C39" i="1"/>
  <c r="F39" i="1"/>
  <c r="H97" i="5" l="1"/>
  <c r="H49" i="5" s="1"/>
  <c r="H50" i="5"/>
  <c r="H58" i="5" s="1"/>
  <c r="C52" i="1"/>
  <c r="V46" i="1"/>
  <c r="V50" i="1" s="1"/>
  <c r="T46" i="1"/>
  <c r="T50" i="1" s="1"/>
  <c r="T52" i="1" s="1"/>
  <c r="S46" i="1"/>
  <c r="S50" i="1" s="1"/>
  <c r="S52" i="1" s="1"/>
  <c r="K46" i="1"/>
  <c r="K50" i="1" s="1"/>
  <c r="K52" i="1" s="1"/>
  <c r="I46" i="1"/>
  <c r="I50" i="1" s="1"/>
  <c r="I52" i="1" s="1"/>
  <c r="F53" i="1"/>
  <c r="F46" i="1"/>
  <c r="F50" i="1" s="1"/>
  <c r="F52" i="1" s="1"/>
  <c r="P52" i="1"/>
  <c r="R52" i="1"/>
  <c r="V52" i="1"/>
  <c r="G59" i="5"/>
  <c r="G51" i="5"/>
  <c r="G55" i="5" s="1"/>
  <c r="G57" i="5" s="1"/>
  <c r="J51" i="1"/>
  <c r="U51" i="1"/>
  <c r="R51" i="1"/>
  <c r="G51" i="1"/>
  <c r="H51" i="1"/>
  <c r="P51" i="1"/>
  <c r="E51" i="1"/>
  <c r="D51" i="1"/>
  <c r="D56" i="5"/>
  <c r="E56" i="5"/>
  <c r="H59" i="5"/>
  <c r="H51" i="5"/>
  <c r="H55" i="5" s="1"/>
  <c r="H57" i="5" s="1"/>
  <c r="I85" i="5"/>
  <c r="I87" i="5" s="1"/>
  <c r="I88" i="5"/>
  <c r="I89" i="5" s="1"/>
  <c r="I91" i="5"/>
  <c r="I90" i="5" s="1"/>
  <c r="F92" i="5"/>
  <c r="F95" i="5" s="1"/>
  <c r="F96" i="5" s="1"/>
  <c r="F97" i="5" s="1"/>
  <c r="X51" i="1"/>
  <c r="W51" i="1"/>
  <c r="M51" i="1"/>
  <c r="L51" i="1"/>
  <c r="F51" i="1"/>
  <c r="C51" i="1"/>
  <c r="I51" i="1"/>
  <c r="K51" i="1"/>
  <c r="B50" i="1"/>
  <c r="V51" i="1"/>
  <c r="T51" i="1"/>
  <c r="Q51" i="1"/>
  <c r="S51" i="1"/>
  <c r="O51" i="1"/>
  <c r="G56" i="5" l="1"/>
  <c r="F51" i="5"/>
  <c r="F55" i="5" s="1"/>
  <c r="F57" i="5" s="1"/>
  <c r="F59" i="5"/>
  <c r="J58" i="5"/>
  <c r="J76" i="5"/>
  <c r="J59" i="5"/>
  <c r="J46" i="5"/>
  <c r="J47" i="5"/>
  <c r="I92" i="5"/>
  <c r="I95" i="5" s="1"/>
  <c r="I96" i="5" s="1"/>
  <c r="H56" i="5"/>
  <c r="AA50" i="1"/>
  <c r="I97" i="5" l="1"/>
  <c r="I49" i="5" s="1"/>
  <c r="I50" i="5"/>
  <c r="I58" i="5" s="1"/>
  <c r="F56" i="5"/>
  <c r="I59" i="5"/>
  <c r="I51" i="5"/>
  <c r="I55" i="5" s="1"/>
  <c r="I57" i="5" s="1"/>
  <c r="J55" i="5"/>
  <c r="J57" i="5" s="1"/>
  <c r="J85" i="5"/>
  <c r="J87" i="5" s="1"/>
  <c r="J88" i="5"/>
  <c r="J89" i="5" s="1"/>
  <c r="J91" i="5"/>
  <c r="J90" i="5" s="1"/>
  <c r="K58" i="5"/>
  <c r="K76" i="5"/>
  <c r="K59" i="5"/>
  <c r="K46" i="5"/>
  <c r="K47" i="5"/>
  <c r="J56" i="5" l="1"/>
  <c r="K55" i="5"/>
  <c r="K57" i="5" s="1"/>
  <c r="K85" i="5"/>
  <c r="K87" i="5" s="1"/>
  <c r="K88" i="5"/>
  <c r="K89" i="5" s="1"/>
  <c r="K91" i="5"/>
  <c r="K90" i="5" s="1"/>
  <c r="J92" i="5"/>
  <c r="J95" i="5" s="1"/>
  <c r="J96" i="5" s="1"/>
  <c r="J97" i="5" s="1"/>
  <c r="I56" i="5"/>
  <c r="K56" i="5" l="1"/>
  <c r="K92" i="5"/>
  <c r="K95" i="5" s="1"/>
  <c r="K96" i="5" s="1"/>
  <c r="K97" i="5" s="1"/>
</calcChain>
</file>

<file path=xl/sharedStrings.xml><?xml version="1.0" encoding="utf-8"?>
<sst xmlns="http://schemas.openxmlformats.org/spreadsheetml/2006/main" count="320" uniqueCount="137">
  <si>
    <t>Bezeichnung</t>
  </si>
  <si>
    <t>Investition</t>
  </si>
  <si>
    <t>Kosteneinsparung nach 20 Jahren</t>
  </si>
  <si>
    <t>Autarkie Strom</t>
  </si>
  <si>
    <t>Förderung</t>
  </si>
  <si>
    <t>Photovoltaik</t>
  </si>
  <si>
    <t>Batteriespeicher</t>
  </si>
  <si>
    <t>verbleibende Investition</t>
  </si>
  <si>
    <t>Variante 1 a</t>
  </si>
  <si>
    <t>Variante 3 a</t>
  </si>
  <si>
    <t>Variante 3 b</t>
  </si>
  <si>
    <t>Amortisationszeit (a - Jahre)</t>
  </si>
  <si>
    <t>CO2 (t/a - Tonnen pro Jahr)</t>
  </si>
  <si>
    <t>Endenergie (kWh/a - kWh pro Jahr)</t>
  </si>
  <si>
    <t>Strompreis</t>
  </si>
  <si>
    <t>Cent/kWh</t>
  </si>
  <si>
    <t>Strom</t>
  </si>
  <si>
    <t>kg/kWh</t>
  </si>
  <si>
    <t>Variante 1 b</t>
  </si>
  <si>
    <t>Investition im Vergleich</t>
  </si>
  <si>
    <t>Strom pro Jahr</t>
  </si>
  <si>
    <t>Energiekosten pro Jahr</t>
  </si>
  <si>
    <t>Stromproduktion pro Jahr</t>
  </si>
  <si>
    <t>davon Strom selbstgenutzt</t>
  </si>
  <si>
    <t>Stromerlös pro Jahr</t>
  </si>
  <si>
    <t>Wartungskosten etc. pro Jahr</t>
  </si>
  <si>
    <t>Betriebskosten pro Jahr</t>
  </si>
  <si>
    <t>Autarkie Wärme: mindestens 50 Prozent</t>
  </si>
  <si>
    <t>Autarkie Strom: mindestens 50 Prozent</t>
  </si>
  <si>
    <t>Amortisationszeit: höchstens 10 Jahre</t>
  </si>
  <si>
    <t>grüne Schriftfarbe</t>
  </si>
  <si>
    <t>rote Schriftfarbe</t>
  </si>
  <si>
    <t>Kohlendioxidbelastung: höchstens 0,5 Tonnen jährlich</t>
  </si>
  <si>
    <t>Bei dieser Varianten ist die Investition geringer als die der Ausgangsplanung</t>
  </si>
  <si>
    <t>In dieser Zeile ist die Variante ungünstiger als die Ausgangsplanung</t>
  </si>
  <si>
    <t>In diesen Feldern stehen die im Ratgeber dokumentierten Vorgabewerte</t>
  </si>
  <si>
    <t>Förderung Einzelmaßnahmen</t>
  </si>
  <si>
    <t>Einspeisevergütung</t>
  </si>
  <si>
    <t>Einspeisevergütung Volleinspeisung</t>
  </si>
  <si>
    <t>Eigennutzung</t>
  </si>
  <si>
    <t>ohne Batterie</t>
  </si>
  <si>
    <t>kleine Batterie</t>
  </si>
  <si>
    <t>Variante 1 c</t>
  </si>
  <si>
    <t>Eigennnutzung</t>
  </si>
  <si>
    <t>große Batterie</t>
  </si>
  <si>
    <t>Volleinspeisung</t>
  </si>
  <si>
    <t xml:space="preserve">Variante 2 </t>
  </si>
  <si>
    <t>große Anlage</t>
  </si>
  <si>
    <t>sehr große Batterie</t>
  </si>
  <si>
    <t>spezifischer Ertrag</t>
  </si>
  <si>
    <t>kWh/kWp</t>
  </si>
  <si>
    <t>Kosten Photovoltaik</t>
  </si>
  <si>
    <t>Kosten Batterie</t>
  </si>
  <si>
    <t>%</t>
  </si>
  <si>
    <t>Leistung Photovoltaik</t>
  </si>
  <si>
    <t>effektive Kapazität Batterie</t>
  </si>
  <si>
    <t>Strompreissteigerung</t>
  </si>
  <si>
    <t>Durchschnittspreis</t>
  </si>
  <si>
    <t>Batterieersatz pro Jahr</t>
  </si>
  <si>
    <t>Batterieverlust pro Jahr</t>
  </si>
  <si>
    <t>weitere Betriebskosten (Zähler etc.)</t>
  </si>
  <si>
    <t xml:space="preserve">Ist-Zustand </t>
  </si>
  <si>
    <t>Ist-Zustand</t>
  </si>
  <si>
    <t>Variante 4a</t>
  </si>
  <si>
    <t>Kleinwindanlage</t>
  </si>
  <si>
    <t xml:space="preserve">schlechte </t>
  </si>
  <si>
    <t>Windbedingungen</t>
  </si>
  <si>
    <t xml:space="preserve">Variante 4b </t>
  </si>
  <si>
    <t xml:space="preserve">gute </t>
  </si>
  <si>
    <t>Windanlage</t>
  </si>
  <si>
    <t>Investitionskosten: höchstens 5.000 € Zusatzkosten</t>
  </si>
  <si>
    <t>Betriebskosten: höchstens 500 € jährlich</t>
  </si>
  <si>
    <t>Kosteneinsparung: mindestens 5.000 € über 20 Jahre</t>
  </si>
  <si>
    <t>Förderung Bund</t>
  </si>
  <si>
    <t>CO2-Faktor:</t>
  </si>
  <si>
    <t>E7 PV</t>
  </si>
  <si>
    <t>E10 spez Ertrag</t>
  </si>
  <si>
    <t>E11 Stromerz</t>
  </si>
  <si>
    <t>E13 Speicher</t>
  </si>
  <si>
    <t>U 24 Haushalt</t>
  </si>
  <si>
    <t>U 18 DLE</t>
  </si>
  <si>
    <t>U19 WW sonst</t>
  </si>
  <si>
    <t>U20 WP</t>
  </si>
  <si>
    <t>U21 Ehzg</t>
  </si>
  <si>
    <t>E112 nutzb Heizen</t>
  </si>
  <si>
    <t>E113 PV korr</t>
  </si>
  <si>
    <t>E114 V mit min</t>
  </si>
  <si>
    <t>E115 V ohne min</t>
  </si>
  <si>
    <t>E116 Faktor</t>
  </si>
  <si>
    <t>E117  Vdirekt</t>
  </si>
  <si>
    <t>E118 V über Batt</t>
  </si>
  <si>
    <t>E119 Batterieeffekt</t>
  </si>
  <si>
    <t>E120 Eigenverbrgrad</t>
  </si>
  <si>
    <t>E121 E zu V</t>
  </si>
  <si>
    <t>E122 Eigenverbr ohne Batt</t>
  </si>
  <si>
    <t>E124 Speicherv</t>
  </si>
  <si>
    <t>E125 Mehrnutzen Batt</t>
  </si>
  <si>
    <t>E126 Speicherv</t>
  </si>
  <si>
    <t>E127 Eigenverbr</t>
  </si>
  <si>
    <t>Einspeisevergütung über 10 kWp</t>
  </si>
  <si>
    <t>Einspeisevergütung bis    10 kWp</t>
  </si>
  <si>
    <t>über 10 kWp</t>
  </si>
  <si>
    <t>Tabelle 2:</t>
  </si>
  <si>
    <t>bis    10 kWp</t>
  </si>
  <si>
    <t>spezifischer Ertrag Photovoltaik</t>
  </si>
  <si>
    <t>Grundlast</t>
  </si>
  <si>
    <t>mittlere Windgeschwindigkeit</t>
  </si>
  <si>
    <t>empfohlene Leistung Windanlage</t>
  </si>
  <si>
    <t>Volllaststunden</t>
  </si>
  <si>
    <t>Stromverbrauch pro Jahr</t>
  </si>
  <si>
    <t>Ost-West Anlage</t>
  </si>
  <si>
    <t>Variante 3 c</t>
  </si>
  <si>
    <t>kleine Anlage</t>
  </si>
  <si>
    <t>Variante3 a</t>
  </si>
  <si>
    <t>Variante 3 d</t>
  </si>
  <si>
    <t>Variante3 b</t>
  </si>
  <si>
    <t>Variante 3 e</t>
  </si>
  <si>
    <t>sehr große Anlage</t>
  </si>
  <si>
    <t>Globalstrahlung</t>
  </si>
  <si>
    <t>kWh/m²</t>
  </si>
  <si>
    <t>Faktor Verschattung</t>
  </si>
  <si>
    <t>Wirkungsgrad</t>
  </si>
  <si>
    <t xml:space="preserve">Photovoltaik und </t>
  </si>
  <si>
    <t>Speicher</t>
  </si>
  <si>
    <t>Ost/West Anlage</t>
  </si>
  <si>
    <t>Photovoltaik und</t>
  </si>
  <si>
    <t>Haushalt A</t>
  </si>
  <si>
    <t>Haushalt B</t>
  </si>
  <si>
    <t>Haushalt C</t>
  </si>
  <si>
    <t>Kapitel 2, PV, Kleinwind, Speicher</t>
  </si>
  <si>
    <t>Energiepreise Stand 2023 auf Basis der Preisbremsen</t>
  </si>
  <si>
    <t>Vollständige Tabelle mit allen Varianten  - Stand 02.01.2024</t>
  </si>
  <si>
    <t>Tragen Sie hier Ihre individuellen Werte ein  - Stand 02.01.2024</t>
  </si>
  <si>
    <t>Faktor Ausrichtung aus Abb. 3, Kap. 2</t>
  </si>
  <si>
    <t>Ausgangswerte:</t>
  </si>
  <si>
    <t>Bitte eigene Werte eintragen</t>
  </si>
  <si>
    <t>Förderung Land/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</si>
</sst>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#,##0\ &quot;€&quot;;\-#,##0\ &quot;€&quot;"/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#,##0.0_ ;[Red]\-#,##0.0\ "/>
    <numFmt numFmtId="172" formatCode="0\ &quot;kWp&quot;"/>
    <numFmt numFmtId="173" formatCode="0\ &quot;kWh&quot;"/>
    <numFmt numFmtId="174" formatCode="#,##0\ &quot;€/kWp&quot;"/>
    <numFmt numFmtId="175" formatCode="#,##0\ &quot;€/kWh&quot;"/>
    <numFmt numFmtId="176" formatCode="#,##0.0\ _€;[Red]\-#,##0.0\ _€"/>
    <numFmt numFmtId="177" formatCode="0.00\ &quot;Cent/kWh&quot;"/>
    <numFmt numFmtId="178" formatCode="0.00\ &quot;kW&quot;"/>
    <numFmt numFmtId="179" formatCode="0\ &quot;m/s&quot;"/>
    <numFmt numFmtId="180" formatCode="0.0\ &quot;kW&quot;"/>
    <numFmt numFmtId="181" formatCode="0\ &quot;h&quot;"/>
    <numFmt numFmtId="182" formatCode="0.0\ &quot;m/s&quot;"/>
    <numFmt numFmtId="183" formatCode="0.000"/>
  </numFmts>
  <fonts count="11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0" fillId="5" borderId="0" xfId="0" applyFill="1"/>
    <xf numFmtId="6" fontId="0" fillId="5" borderId="0" xfId="0" applyNumberFormat="1" applyFill="1"/>
    <xf numFmtId="164" fontId="0" fillId="5" borderId="0" xfId="0" applyNumberFormat="1" applyFill="1"/>
    <xf numFmtId="6" fontId="3" fillId="5" borderId="0" xfId="0" applyNumberFormat="1" applyFont="1" applyFill="1"/>
    <xf numFmtId="0" fontId="1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" fillId="5" borderId="4" xfId="0" applyFont="1" applyFill="1" applyBorder="1"/>
    <xf numFmtId="0" fontId="0" fillId="5" borderId="5" xfId="0" applyFill="1" applyBorder="1"/>
    <xf numFmtId="164" fontId="3" fillId="5" borderId="0" xfId="0" applyNumberFormat="1" applyFont="1" applyFill="1"/>
    <xf numFmtId="169" fontId="0" fillId="5" borderId="8" xfId="0" applyNumberFormat="1" applyFill="1" applyBorder="1"/>
    <xf numFmtId="0" fontId="1" fillId="0" borderId="5" xfId="0" applyFont="1" applyBorder="1"/>
    <xf numFmtId="0" fontId="1" fillId="0" borderId="10" xfId="0" applyFont="1" applyBorder="1"/>
    <xf numFmtId="164" fontId="1" fillId="0" borderId="10" xfId="0" applyNumberFormat="1" applyFont="1" applyBorder="1"/>
    <xf numFmtId="0" fontId="1" fillId="0" borderId="10" xfId="1" applyFont="1" applyBorder="1"/>
    <xf numFmtId="0" fontId="1" fillId="5" borderId="7" xfId="0" applyFont="1" applyFill="1" applyBorder="1"/>
    <xf numFmtId="0" fontId="1" fillId="5" borderId="9" xfId="0" applyFont="1" applyFill="1" applyBorder="1"/>
    <xf numFmtId="164" fontId="0" fillId="5" borderId="12" xfId="0" applyNumberFormat="1" applyFill="1" applyBorder="1"/>
    <xf numFmtId="0" fontId="1" fillId="5" borderId="3" xfId="0" applyFont="1" applyFill="1" applyBorder="1"/>
    <xf numFmtId="164" fontId="0" fillId="5" borderId="13" xfId="0" applyNumberFormat="1" applyFill="1" applyBorder="1"/>
    <xf numFmtId="0" fontId="1" fillId="6" borderId="5" xfId="0" applyFont="1" applyFill="1" applyBorder="1"/>
    <xf numFmtId="164" fontId="0" fillId="6" borderId="10" xfId="0" applyNumberFormat="1" applyFill="1" applyBorder="1"/>
    <xf numFmtId="0" fontId="1" fillId="0" borderId="9" xfId="0" applyFont="1" applyBorder="1"/>
    <xf numFmtId="165" fontId="0" fillId="0" borderId="12" xfId="0" applyNumberFormat="1" applyBorder="1"/>
    <xf numFmtId="164" fontId="0" fillId="0" borderId="12" xfId="0" applyNumberFormat="1" applyBorder="1"/>
    <xf numFmtId="0" fontId="1" fillId="0" borderId="3" xfId="0" applyFont="1" applyBorder="1"/>
    <xf numFmtId="164" fontId="0" fillId="0" borderId="13" xfId="0" applyNumberFormat="1" applyBorder="1"/>
    <xf numFmtId="0" fontId="3" fillId="0" borderId="0" xfId="0" applyFont="1"/>
    <xf numFmtId="164" fontId="0" fillId="7" borderId="12" xfId="0" applyNumberFormat="1" applyFill="1" applyBorder="1" applyProtection="1">
      <protection locked="0"/>
    </xf>
    <xf numFmtId="9" fontId="0" fillId="8" borderId="0" xfId="0" applyNumberFormat="1" applyFill="1"/>
    <xf numFmtId="9" fontId="0" fillId="9" borderId="0" xfId="0" applyNumberFormat="1" applyFill="1"/>
    <xf numFmtId="9" fontId="0" fillId="0" borderId="20" xfId="0" applyNumberFormat="1" applyBorder="1"/>
    <xf numFmtId="164" fontId="0" fillId="0" borderId="20" xfId="0" applyNumberFormat="1" applyBorder="1"/>
    <xf numFmtId="5" fontId="0" fillId="0" borderId="20" xfId="0" applyNumberFormat="1" applyBorder="1"/>
    <xf numFmtId="3" fontId="0" fillId="7" borderId="12" xfId="0" applyNumberFormat="1" applyFill="1" applyBorder="1" applyProtection="1">
      <protection locked="0"/>
    </xf>
    <xf numFmtId="169" fontId="0" fillId="7" borderId="12" xfId="0" applyNumberFormat="1" applyFill="1" applyBorder="1" applyProtection="1">
      <protection locked="0"/>
    </xf>
    <xf numFmtId="0" fontId="3" fillId="0" borderId="21" xfId="0" applyFont="1" applyBorder="1"/>
    <xf numFmtId="0" fontId="0" fillId="0" borderId="21" xfId="0" applyBorder="1"/>
    <xf numFmtId="0" fontId="0" fillId="0" borderId="22" xfId="0" applyBorder="1"/>
    <xf numFmtId="0" fontId="6" fillId="0" borderId="16" xfId="0" applyFont="1" applyBorder="1"/>
    <xf numFmtId="0" fontId="0" fillId="0" borderId="23" xfId="0" applyBorder="1"/>
    <xf numFmtId="0" fontId="7" fillId="0" borderId="17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2" borderId="14" xfId="0" applyNumberFormat="1" applyFill="1" applyBorder="1"/>
    <xf numFmtId="166" fontId="0" fillId="10" borderId="21" xfId="0" applyNumberFormat="1" applyFill="1" applyBorder="1"/>
    <xf numFmtId="6" fontId="3" fillId="0" borderId="21" xfId="0" applyNumberFormat="1" applyFont="1" applyBorder="1"/>
    <xf numFmtId="6" fontId="0" fillId="3" borderId="16" xfId="0" applyNumberFormat="1" applyFill="1" applyBorder="1"/>
    <xf numFmtId="167" fontId="4" fillId="11" borderId="17" xfId="0" applyNumberFormat="1" applyFont="1" applyFill="1" applyBorder="1"/>
    <xf numFmtId="0" fontId="2" fillId="0" borderId="0" xfId="0" applyFont="1" applyAlignment="1">
      <alignment horizontal="right"/>
    </xf>
    <xf numFmtId="0" fontId="5" fillId="0" borderId="0" xfId="0" applyFont="1"/>
    <xf numFmtId="168" fontId="4" fillId="0" borderId="20" xfId="0" applyNumberFormat="1" applyFont="1" applyBorder="1" applyAlignment="1">
      <alignment horizontal="right"/>
    </xf>
    <xf numFmtId="0" fontId="1" fillId="0" borderId="26" xfId="0" applyFont="1" applyBorder="1"/>
    <xf numFmtId="0" fontId="1" fillId="0" borderId="15" xfId="0" applyFont="1" applyBorder="1"/>
    <xf numFmtId="6" fontId="1" fillId="0" borderId="15" xfId="0" applyNumberFormat="1" applyFont="1" applyBorder="1"/>
    <xf numFmtId="6" fontId="1" fillId="0" borderId="15" xfId="1" applyNumberFormat="1" applyFont="1" applyBorder="1"/>
    <xf numFmtId="164" fontId="1" fillId="0" borderId="15" xfId="1" applyNumberFormat="1" applyFont="1" applyBorder="1"/>
    <xf numFmtId="165" fontId="1" fillId="0" borderId="15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/>
    <xf numFmtId="6" fontId="0" fillId="5" borderId="14" xfId="0" applyNumberFormat="1" applyFill="1" applyBorder="1"/>
    <xf numFmtId="0" fontId="1" fillId="0" borderId="19" xfId="0" applyFont="1" applyBorder="1"/>
    <xf numFmtId="164" fontId="1" fillId="0" borderId="19" xfId="0" applyNumberFormat="1" applyFont="1" applyBorder="1"/>
    <xf numFmtId="6" fontId="0" fillId="0" borderId="20" xfId="0" applyNumberFormat="1" applyBorder="1"/>
    <xf numFmtId="167" fontId="0" fillId="0" borderId="20" xfId="0" applyNumberFormat="1" applyBorder="1"/>
    <xf numFmtId="166" fontId="0" fillId="0" borderId="20" xfId="0" applyNumberFormat="1" applyBorder="1"/>
    <xf numFmtId="164" fontId="0" fillId="4" borderId="16" xfId="0" applyNumberFormat="1" applyFill="1" applyBorder="1"/>
    <xf numFmtId="164" fontId="3" fillId="0" borderId="20" xfId="0" applyNumberFormat="1" applyFont="1" applyBorder="1"/>
    <xf numFmtId="164" fontId="3" fillId="5" borderId="4" xfId="0" applyNumberFormat="1" applyFont="1" applyFill="1" applyBorder="1"/>
    <xf numFmtId="6" fontId="3" fillId="5" borderId="5" xfId="0" applyNumberFormat="1" applyFont="1" applyFill="1" applyBorder="1"/>
    <xf numFmtId="164" fontId="8" fillId="0" borderId="0" xfId="0" applyNumberFormat="1" applyFont="1"/>
    <xf numFmtId="0" fontId="3" fillId="6" borderId="0" xfId="0" applyFont="1" applyFill="1" applyAlignment="1">
      <alignment vertical="top"/>
    </xf>
    <xf numFmtId="0" fontId="0" fillId="6" borderId="0" xfId="0" applyFill="1" applyAlignment="1">
      <alignment vertical="top"/>
    </xf>
    <xf numFmtId="164" fontId="3" fillId="5" borderId="7" xfId="0" applyNumberFormat="1" applyFont="1" applyFill="1" applyBorder="1"/>
    <xf numFmtId="172" fontId="1" fillId="5" borderId="11" xfId="0" applyNumberFormat="1" applyFont="1" applyFill="1" applyBorder="1"/>
    <xf numFmtId="172" fontId="0" fillId="5" borderId="11" xfId="0" applyNumberFormat="1" applyFill="1" applyBorder="1"/>
    <xf numFmtId="172" fontId="3" fillId="5" borderId="11" xfId="1" applyNumberFormat="1" applyFill="1" applyBorder="1"/>
    <xf numFmtId="173" fontId="0" fillId="5" borderId="12" xfId="0" applyNumberFormat="1" applyFill="1" applyBorder="1"/>
    <xf numFmtId="173" fontId="3" fillId="5" borderId="12" xfId="1" applyNumberFormat="1" applyFill="1" applyBorder="1"/>
    <xf numFmtId="165" fontId="0" fillId="0" borderId="13" xfId="0" applyNumberFormat="1" applyBorder="1"/>
    <xf numFmtId="174" fontId="0" fillId="5" borderId="12" xfId="0" applyNumberFormat="1" applyFill="1" applyBorder="1"/>
    <xf numFmtId="175" fontId="0" fillId="5" borderId="12" xfId="0" applyNumberFormat="1" applyFill="1" applyBorder="1"/>
    <xf numFmtId="165" fontId="0" fillId="5" borderId="12" xfId="0" applyNumberFormat="1" applyFill="1" applyBorder="1"/>
    <xf numFmtId="176" fontId="0" fillId="5" borderId="0" xfId="0" applyNumberFormat="1" applyFill="1"/>
    <xf numFmtId="164" fontId="0" fillId="5" borderId="9" xfId="0" applyNumberFormat="1" applyFill="1" applyBorder="1"/>
    <xf numFmtId="164" fontId="3" fillId="5" borderId="9" xfId="0" applyNumberFormat="1" applyFont="1" applyFill="1" applyBorder="1"/>
    <xf numFmtId="164" fontId="0" fillId="5" borderId="3" xfId="0" applyNumberFormat="1" applyFill="1" applyBorder="1"/>
    <xf numFmtId="164" fontId="3" fillId="5" borderId="29" xfId="0" applyNumberFormat="1" applyFont="1" applyFill="1" applyBorder="1"/>
    <xf numFmtId="170" fontId="0" fillId="5" borderId="6" xfId="0" applyNumberFormat="1" applyFill="1" applyBorder="1"/>
    <xf numFmtId="6" fontId="3" fillId="5" borderId="7" xfId="0" applyNumberFormat="1" applyFont="1" applyFill="1" applyBorder="1"/>
    <xf numFmtId="170" fontId="0" fillId="5" borderId="0" xfId="0" applyNumberFormat="1" applyFill="1"/>
    <xf numFmtId="0" fontId="0" fillId="5" borderId="4" xfId="0" applyFill="1" applyBorder="1"/>
    <xf numFmtId="0" fontId="3" fillId="6" borderId="0" xfId="0" applyFont="1" applyFill="1"/>
    <xf numFmtId="0" fontId="0" fillId="6" borderId="0" xfId="0" applyFill="1"/>
    <xf numFmtId="0" fontId="1" fillId="6" borderId="0" xfId="0" applyFont="1" applyFill="1"/>
    <xf numFmtId="173" fontId="0" fillId="7" borderId="12" xfId="0" applyNumberFormat="1" applyFill="1" applyBorder="1" applyProtection="1">
      <protection locked="0"/>
    </xf>
    <xf numFmtId="174" fontId="0" fillId="7" borderId="12" xfId="0" applyNumberFormat="1" applyFill="1" applyBorder="1" applyProtection="1">
      <protection locked="0"/>
    </xf>
    <xf numFmtId="175" fontId="0" fillId="7" borderId="12" xfId="0" applyNumberFormat="1" applyFill="1" applyBorder="1" applyProtection="1">
      <protection locked="0"/>
    </xf>
    <xf numFmtId="165" fontId="0" fillId="7" borderId="12" xfId="0" applyNumberFormat="1" applyFill="1" applyBorder="1" applyProtection="1">
      <protection locked="0"/>
    </xf>
    <xf numFmtId="0" fontId="8" fillId="0" borderId="0" xfId="0" applyFont="1" applyProtection="1">
      <protection hidden="1"/>
    </xf>
    <xf numFmtId="177" fontId="0" fillId="5" borderId="11" xfId="0" applyNumberFormat="1" applyFill="1" applyBorder="1"/>
    <xf numFmtId="164" fontId="3" fillId="5" borderId="3" xfId="0" applyNumberFormat="1" applyFont="1" applyFill="1" applyBorder="1"/>
    <xf numFmtId="178" fontId="0" fillId="5" borderId="13" xfId="0" applyNumberFormat="1" applyFill="1" applyBorder="1"/>
    <xf numFmtId="179" fontId="0" fillId="5" borderId="13" xfId="0" applyNumberFormat="1" applyFill="1" applyBorder="1"/>
    <xf numFmtId="0" fontId="1" fillId="6" borderId="9" xfId="0" applyFont="1" applyFill="1" applyBorder="1"/>
    <xf numFmtId="164" fontId="0" fillId="6" borderId="12" xfId="0" applyNumberFormat="1" applyFill="1" applyBorder="1"/>
    <xf numFmtId="180" fontId="0" fillId="6" borderId="12" xfId="0" applyNumberFormat="1" applyFill="1" applyBorder="1"/>
    <xf numFmtId="181" fontId="0" fillId="6" borderId="12" xfId="0" applyNumberFormat="1" applyFill="1" applyBorder="1"/>
    <xf numFmtId="173" fontId="3" fillId="0" borderId="0" xfId="0" applyNumberFormat="1" applyFont="1"/>
    <xf numFmtId="165" fontId="3" fillId="0" borderId="0" xfId="0" applyNumberFormat="1" applyFont="1"/>
    <xf numFmtId="172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3" fontId="0" fillId="5" borderId="3" xfId="0" applyNumberFormat="1" applyFill="1" applyBorder="1"/>
    <xf numFmtId="6" fontId="3" fillId="5" borderId="30" xfId="0" applyNumberFormat="1" applyFont="1" applyFill="1" applyBorder="1"/>
    <xf numFmtId="176" fontId="0" fillId="5" borderId="8" xfId="0" applyNumberFormat="1" applyFill="1" applyBorder="1"/>
    <xf numFmtId="0" fontId="1" fillId="5" borderId="30" xfId="0" applyFont="1" applyFill="1" applyBorder="1"/>
    <xf numFmtId="0" fontId="0" fillId="5" borderId="8" xfId="0" applyFill="1" applyBorder="1"/>
    <xf numFmtId="0" fontId="0" fillId="5" borderId="9" xfId="0" applyFill="1" applyBorder="1"/>
    <xf numFmtId="164" fontId="3" fillId="5" borderId="30" xfId="0" applyNumberFormat="1" applyFont="1" applyFill="1" applyBorder="1"/>
    <xf numFmtId="170" fontId="0" fillId="7" borderId="8" xfId="0" applyNumberFormat="1" applyFill="1" applyBorder="1" applyProtection="1">
      <protection locked="0"/>
    </xf>
    <xf numFmtId="6" fontId="3" fillId="5" borderId="9" xfId="0" applyNumberFormat="1" applyFont="1" applyFill="1" applyBorder="1"/>
    <xf numFmtId="164" fontId="0" fillId="5" borderId="1" xfId="0" applyNumberFormat="1" applyFill="1" applyBorder="1"/>
    <xf numFmtId="164" fontId="0" fillId="5" borderId="2" xfId="0" applyNumberFormat="1" applyFill="1" applyBorder="1"/>
    <xf numFmtId="164" fontId="3" fillId="5" borderId="1" xfId="0" applyNumberFormat="1" applyFont="1" applyFill="1" applyBorder="1"/>
    <xf numFmtId="170" fontId="0" fillId="5" borderId="2" xfId="0" applyNumberFormat="1" applyFill="1" applyBorder="1"/>
    <xf numFmtId="6" fontId="3" fillId="5" borderId="3" xfId="0" applyNumberFormat="1" applyFont="1" applyFill="1" applyBorder="1"/>
    <xf numFmtId="6" fontId="0" fillId="5" borderId="29" xfId="0" applyNumberFormat="1" applyFill="1" applyBorder="1"/>
    <xf numFmtId="164" fontId="0" fillId="5" borderId="6" xfId="0" applyNumberFormat="1" applyFill="1" applyBorder="1"/>
    <xf numFmtId="6" fontId="0" fillId="5" borderId="6" xfId="0" applyNumberFormat="1" applyFill="1" applyBorder="1"/>
    <xf numFmtId="164" fontId="3" fillId="5" borderId="12" xfId="0" applyNumberFormat="1" applyFont="1" applyFill="1" applyBorder="1"/>
    <xf numFmtId="0" fontId="1" fillId="5" borderId="13" xfId="0" applyFont="1" applyFill="1" applyBorder="1"/>
    <xf numFmtId="0" fontId="1" fillId="5" borderId="11" xfId="0" applyFont="1" applyFill="1" applyBorder="1"/>
    <xf numFmtId="172" fontId="8" fillId="0" borderId="0" xfId="0" applyNumberFormat="1" applyFont="1" applyProtection="1">
      <protection hidden="1"/>
    </xf>
    <xf numFmtId="3" fontId="8" fillId="0" borderId="0" xfId="0" applyNumberFormat="1" applyFont="1" applyProtection="1">
      <protection hidden="1"/>
    </xf>
    <xf numFmtId="173" fontId="8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0" fontId="8" fillId="0" borderId="0" xfId="0" applyFont="1"/>
    <xf numFmtId="172" fontId="8" fillId="0" borderId="0" xfId="0" applyNumberFormat="1" applyFont="1"/>
    <xf numFmtId="3" fontId="8" fillId="0" borderId="0" xfId="0" applyNumberFormat="1" applyFont="1"/>
    <xf numFmtId="173" fontId="8" fillId="0" borderId="0" xfId="0" applyNumberFormat="1" applyFont="1"/>
    <xf numFmtId="165" fontId="8" fillId="0" borderId="0" xfId="0" applyNumberFormat="1" applyFont="1"/>
    <xf numFmtId="171" fontId="0" fillId="5" borderId="8" xfId="0" applyNumberFormat="1" applyFill="1" applyBorder="1"/>
    <xf numFmtId="0" fontId="0" fillId="5" borderId="1" xfId="0" applyFill="1" applyBorder="1"/>
    <xf numFmtId="0" fontId="9" fillId="5" borderId="30" xfId="0" applyFont="1" applyFill="1" applyBorder="1"/>
    <xf numFmtId="0" fontId="9" fillId="5" borderId="8" xfId="0" applyFont="1" applyFill="1" applyBorder="1"/>
    <xf numFmtId="3" fontId="10" fillId="5" borderId="30" xfId="0" applyNumberFormat="1" applyFont="1" applyFill="1" applyBorder="1"/>
    <xf numFmtId="169" fontId="10" fillId="5" borderId="30" xfId="0" applyNumberFormat="1" applyFont="1" applyFill="1" applyBorder="1"/>
    <xf numFmtId="6" fontId="3" fillId="5" borderId="2" xfId="0" applyNumberFormat="1" applyFont="1" applyFill="1" applyBorder="1"/>
    <xf numFmtId="6" fontId="3" fillId="5" borderId="6" xfId="0" applyNumberFormat="1" applyFont="1" applyFill="1" applyBorder="1"/>
    <xf numFmtId="0" fontId="9" fillId="5" borderId="13" xfId="0" applyFont="1" applyFill="1" applyBorder="1"/>
    <xf numFmtId="183" fontId="9" fillId="5" borderId="30" xfId="0" applyNumberFormat="1" applyFont="1" applyFill="1" applyBorder="1"/>
    <xf numFmtId="0" fontId="9" fillId="5" borderId="12" xfId="0" applyFont="1" applyFill="1" applyBorder="1"/>
    <xf numFmtId="3" fontId="0" fillId="7" borderId="14" xfId="0" applyNumberFormat="1" applyFill="1" applyBorder="1"/>
    <xf numFmtId="0" fontId="1" fillId="0" borderId="32" xfId="0" applyFont="1" applyBorder="1"/>
    <xf numFmtId="0" fontId="1" fillId="0" borderId="31" xfId="0" applyFont="1" applyBorder="1"/>
    <xf numFmtId="172" fontId="0" fillId="7" borderId="12" xfId="0" applyNumberFormat="1" applyFill="1" applyBorder="1" applyProtection="1">
      <protection locked="0"/>
    </xf>
    <xf numFmtId="178" fontId="0" fillId="12" borderId="12" xfId="0" applyNumberFormat="1" applyFill="1" applyBorder="1" applyProtection="1">
      <protection locked="0"/>
    </xf>
    <xf numFmtId="182" fontId="0" fillId="12" borderId="12" xfId="0" applyNumberFormat="1" applyFill="1" applyBorder="1" applyProtection="1">
      <protection locked="0"/>
    </xf>
    <xf numFmtId="5" fontId="0" fillId="0" borderId="12" xfId="0" applyNumberFormat="1" applyBorder="1"/>
    <xf numFmtId="164" fontId="3" fillId="0" borderId="12" xfId="0" applyNumberFormat="1" applyFont="1" applyBorder="1"/>
    <xf numFmtId="6" fontId="0" fillId="0" borderId="12" xfId="0" applyNumberFormat="1" applyBorder="1"/>
    <xf numFmtId="167" fontId="0" fillId="0" borderId="12" xfId="0" applyNumberFormat="1" applyBorder="1"/>
    <xf numFmtId="168" fontId="4" fillId="0" borderId="12" xfId="0" applyNumberFormat="1" applyFont="1" applyBorder="1" applyAlignment="1">
      <alignment horizontal="right"/>
    </xf>
    <xf numFmtId="166" fontId="0" fillId="0" borderId="12" xfId="0" applyNumberFormat="1" applyBorder="1"/>
    <xf numFmtId="0" fontId="1" fillId="0" borderId="33" xfId="0" applyFont="1" applyBorder="1"/>
    <xf numFmtId="9" fontId="0" fillId="0" borderId="34" xfId="0" applyNumberFormat="1" applyBorder="1"/>
    <xf numFmtId="177" fontId="0" fillId="0" borderId="12" xfId="0" applyNumberFormat="1" applyFill="1" applyBorder="1"/>
    <xf numFmtId="173" fontId="0" fillId="0" borderId="12" xfId="0" applyNumberFormat="1" applyFill="1" applyBorder="1"/>
    <xf numFmtId="164" fontId="0" fillId="0" borderId="12" xfId="0" applyNumberFormat="1" applyFill="1" applyBorder="1"/>
    <xf numFmtId="172" fontId="0" fillId="0" borderId="12" xfId="0" applyNumberFormat="1" applyFill="1" applyBorder="1"/>
    <xf numFmtId="174" fontId="0" fillId="0" borderId="12" xfId="0" applyNumberFormat="1" applyFill="1" applyBorder="1"/>
    <xf numFmtId="175" fontId="0" fillId="0" borderId="12" xfId="0" applyNumberFormat="1" applyFill="1" applyBorder="1"/>
  </cellXfs>
  <cellStyles count="2">
    <cellStyle name="Standard" xfId="0" builtinId="0"/>
    <cellStyle name="Standard_Ausgangswerte" xfId="1" xr:uid="{00000000-0005-0000-0000-000001000000}"/>
  </cellStyles>
  <dxfs count="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9" tint="-0.24994659260841701"/>
      </font>
      <fill>
        <patternFill patternType="none">
          <bgColor indexed="65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ill>
        <patternFill>
          <bgColor rgb="FF5DD5FF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1C1"/>
        </patternFill>
      </fill>
    </dxf>
    <dxf>
      <font>
        <b/>
        <i val="0"/>
        <color rgb="FF339933"/>
      </font>
      <numFmt numFmtId="184" formatCode="#,##0_ ;\-#,##0\ "/>
    </dxf>
    <dxf>
      <font>
        <b/>
        <i val="0"/>
        <color theme="9" tint="-0.24994659260841701"/>
      </font>
      <fill>
        <patternFill patternType="none">
          <bgColor indexed="65"/>
        </patternFill>
      </fill>
    </dxf>
    <dxf>
      <fill>
        <patternFill>
          <bgColor rgb="FFB6DF89"/>
        </patternFill>
      </fill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ill>
        <patternFill>
          <bgColor rgb="FFB6DF89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ill>
        <patternFill>
          <bgColor rgb="FF5DD5FF"/>
        </patternFill>
      </fill>
    </dxf>
    <dxf>
      <font>
        <color rgb="FFFF0000"/>
      </font>
    </dxf>
    <dxf>
      <font>
        <b/>
        <i val="0"/>
        <color theme="9" tint="-0.24994659260841701"/>
      </font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1C1"/>
        </patternFill>
      </fill>
    </dxf>
    <dxf>
      <font>
        <b/>
        <i val="0"/>
        <color rgb="FF339933"/>
      </font>
      <numFmt numFmtId="184" formatCode="#,##0_ ;\-#,##0\ "/>
    </dxf>
    <dxf>
      <fill>
        <patternFill>
          <bgColor rgb="FFB6DF89"/>
        </patternFill>
      </fill>
    </dxf>
    <dxf>
      <font>
        <color rgb="FFFFC000"/>
      </font>
    </dxf>
  </dxfs>
  <tableStyles count="0" defaultTableStyle="TableStyleMedium2" defaultPivotStyle="PivotStyleLight16"/>
  <colors>
    <mruColors>
      <color rgb="FFFFFF99"/>
      <color rgb="FFFFFFAF"/>
      <color rgb="FFE1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K166"/>
  <sheetViews>
    <sheetView showGridLines="0" tabSelected="1" zoomScaleNormal="100" zoomScaleSheetLayoutView="9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24" width="17.7109375" customWidth="1"/>
  </cols>
  <sheetData>
    <row r="1" spans="1:24" s="2" customFormat="1" ht="23.25" x14ac:dyDescent="0.35">
      <c r="A1" s="57" t="s">
        <v>102</v>
      </c>
      <c r="B1" s="2" t="s">
        <v>129</v>
      </c>
      <c r="C1"/>
      <c r="D1"/>
      <c r="E1"/>
      <c r="F1"/>
      <c r="G1"/>
      <c r="H1"/>
      <c r="I1"/>
    </row>
    <row r="2" spans="1:24" s="2" customFormat="1" ht="23.25" x14ac:dyDescent="0.35">
      <c r="B2" s="58" t="s">
        <v>131</v>
      </c>
      <c r="C2"/>
      <c r="D2"/>
      <c r="E2"/>
      <c r="F2"/>
      <c r="G2"/>
      <c r="H2"/>
      <c r="I2"/>
      <c r="J2"/>
      <c r="K2"/>
      <c r="L2"/>
      <c r="M2"/>
      <c r="N2"/>
      <c r="W2"/>
      <c r="X2"/>
    </row>
    <row r="3" spans="1:24" ht="24.95" customHeight="1" x14ac:dyDescent="0.2">
      <c r="B3" s="80" t="s">
        <v>130</v>
      </c>
      <c r="C3" s="81"/>
      <c r="D3" s="81"/>
      <c r="E3" s="81"/>
      <c r="F3" s="81"/>
    </row>
    <row r="4" spans="1:24" x14ac:dyDescent="0.2">
      <c r="A4" s="125" t="s">
        <v>104</v>
      </c>
      <c r="B4" s="151">
        <v>900</v>
      </c>
      <c r="C4" s="94" t="s">
        <v>50</v>
      </c>
      <c r="D4" s="12"/>
      <c r="E4" s="12"/>
      <c r="F4" s="12"/>
      <c r="G4" s="11" t="s">
        <v>74</v>
      </c>
      <c r="H4" s="12"/>
      <c r="I4" s="13"/>
    </row>
    <row r="5" spans="1:24" x14ac:dyDescent="0.2">
      <c r="A5" s="125" t="s">
        <v>14</v>
      </c>
      <c r="B5" s="17">
        <v>40</v>
      </c>
      <c r="C5" s="93" t="s">
        <v>15</v>
      </c>
      <c r="D5" s="10" t="s">
        <v>57</v>
      </c>
      <c r="E5" s="92">
        <f>B5*((1-(1+B6/100)^20)/(-B6/100))/20</f>
        <v>44.03800798959341</v>
      </c>
      <c r="F5" s="16" t="s">
        <v>15</v>
      </c>
      <c r="G5" s="77" t="s">
        <v>16</v>
      </c>
      <c r="H5" s="99">
        <v>0.56000000000000005</v>
      </c>
      <c r="I5" s="78" t="s">
        <v>17</v>
      </c>
    </row>
    <row r="6" spans="1:24" x14ac:dyDescent="0.2">
      <c r="A6" s="125" t="s">
        <v>56</v>
      </c>
      <c r="B6" s="17">
        <v>1</v>
      </c>
      <c r="C6" s="94" t="s">
        <v>53</v>
      </c>
      <c r="D6" s="7"/>
      <c r="E6" s="7"/>
      <c r="F6" s="7"/>
      <c r="G6" s="100"/>
      <c r="H6" s="7"/>
      <c r="I6" s="15"/>
      <c r="J6" s="6"/>
      <c r="K6" s="5"/>
      <c r="L6" s="4"/>
      <c r="M6" s="4"/>
      <c r="N6" s="5"/>
    </row>
    <row r="7" spans="1:24" x14ac:dyDescent="0.2">
      <c r="A7" s="125" t="s">
        <v>100</v>
      </c>
      <c r="B7" s="17">
        <v>8.1999999999999993</v>
      </c>
      <c r="C7" s="94" t="s">
        <v>15</v>
      </c>
      <c r="D7" s="7"/>
      <c r="E7" s="7"/>
      <c r="F7" s="7"/>
      <c r="G7" s="77"/>
      <c r="H7" s="99"/>
      <c r="I7" s="78"/>
      <c r="J7" s="6"/>
      <c r="K7" s="5"/>
      <c r="L7" s="4"/>
      <c r="M7" s="4"/>
      <c r="N7" s="5"/>
    </row>
    <row r="8" spans="1:24" x14ac:dyDescent="0.2">
      <c r="A8" s="125" t="s">
        <v>99</v>
      </c>
      <c r="B8" s="17">
        <v>7.1</v>
      </c>
      <c r="C8" s="94" t="s">
        <v>15</v>
      </c>
      <c r="D8" s="7"/>
      <c r="E8" s="7"/>
      <c r="F8" s="7"/>
      <c r="G8" s="77"/>
      <c r="H8" s="99"/>
      <c r="I8" s="78"/>
      <c r="J8" s="6"/>
      <c r="K8" s="5"/>
      <c r="L8" s="4"/>
      <c r="M8" s="4"/>
      <c r="N8" s="5"/>
    </row>
    <row r="9" spans="1:24" x14ac:dyDescent="0.2">
      <c r="A9" s="125" t="s">
        <v>38</v>
      </c>
      <c r="B9" s="17"/>
      <c r="C9" s="93"/>
      <c r="D9" s="8"/>
      <c r="E9" s="8"/>
      <c r="F9" s="9"/>
      <c r="G9" s="77"/>
      <c r="H9" s="99"/>
      <c r="I9" s="78"/>
      <c r="J9" s="6"/>
      <c r="K9" s="5"/>
      <c r="L9" s="4"/>
      <c r="M9" s="4"/>
      <c r="N9" s="5"/>
    </row>
    <row r="10" spans="1:24" x14ac:dyDescent="0.2">
      <c r="A10" s="125" t="s">
        <v>103</v>
      </c>
      <c r="B10" s="17">
        <v>13</v>
      </c>
      <c r="C10" s="93" t="s">
        <v>15</v>
      </c>
      <c r="D10" s="8"/>
      <c r="E10" s="8"/>
      <c r="F10" s="9"/>
      <c r="G10" s="77"/>
      <c r="H10" s="99"/>
      <c r="I10" s="78"/>
      <c r="J10" s="6"/>
      <c r="K10" s="5"/>
      <c r="L10" s="4"/>
      <c r="M10" s="4"/>
      <c r="N10" s="5"/>
    </row>
    <row r="11" spans="1:24" x14ac:dyDescent="0.2">
      <c r="A11" s="125" t="s">
        <v>38</v>
      </c>
      <c r="B11" s="17"/>
      <c r="C11" s="93"/>
      <c r="D11" s="8"/>
      <c r="E11" s="8"/>
      <c r="F11" s="9"/>
      <c r="G11" s="77"/>
      <c r="H11" s="99"/>
      <c r="I11" s="78"/>
      <c r="J11" s="6"/>
      <c r="K11" s="5"/>
      <c r="L11" s="4"/>
      <c r="M11" s="4"/>
      <c r="N11" s="5"/>
    </row>
    <row r="12" spans="1:24" x14ac:dyDescent="0.2">
      <c r="A12" s="125" t="s">
        <v>101</v>
      </c>
      <c r="B12" s="17">
        <v>10.9</v>
      </c>
      <c r="C12" s="93" t="s">
        <v>15</v>
      </c>
      <c r="D12" s="138"/>
      <c r="E12" s="138"/>
      <c r="F12" s="137"/>
      <c r="G12" s="96"/>
      <c r="H12" s="97"/>
      <c r="I12" s="98"/>
      <c r="J12" s="6"/>
      <c r="K12" s="5"/>
      <c r="L12" s="4"/>
      <c r="M12" s="4"/>
      <c r="N12" s="5"/>
    </row>
    <row r="13" spans="1:24" x14ac:dyDescent="0.2">
      <c r="A13" s="1"/>
      <c r="B13" s="1"/>
      <c r="C13" s="1"/>
      <c r="E13" s="3"/>
      <c r="F13" s="6"/>
      <c r="G13" s="6"/>
      <c r="H13" s="6"/>
      <c r="I13" s="6"/>
      <c r="J13" s="3"/>
      <c r="K13" s="3"/>
      <c r="L13" s="3"/>
      <c r="M13" s="3"/>
      <c r="N13" s="3"/>
      <c r="O13" s="3"/>
      <c r="P13" s="3"/>
      <c r="Q13" s="6"/>
      <c r="R13" s="6"/>
      <c r="S13" s="6"/>
      <c r="T13" s="5"/>
    </row>
    <row r="14" spans="1:24" x14ac:dyDescent="0.2">
      <c r="B14" s="3"/>
      <c r="C14" s="3"/>
      <c r="D14" s="6"/>
      <c r="E14" s="6"/>
      <c r="F14" s="3"/>
      <c r="G14" s="3"/>
      <c r="H14" s="3"/>
      <c r="I14" s="3"/>
      <c r="J14" s="3"/>
      <c r="K14" s="3"/>
      <c r="L14" s="3"/>
      <c r="M14" s="3"/>
      <c r="N14" s="3"/>
      <c r="O14" s="6"/>
      <c r="P14" s="6"/>
      <c r="Q14" s="5"/>
      <c r="R14" s="4"/>
      <c r="S14" s="4"/>
      <c r="T14" s="5"/>
      <c r="U14" s="4"/>
      <c r="V14" s="4"/>
      <c r="W14" s="3"/>
      <c r="X14" s="3"/>
    </row>
    <row r="15" spans="1:24" s="1" customFormat="1" x14ac:dyDescent="0.2">
      <c r="A15" s="60" t="s">
        <v>0</v>
      </c>
      <c r="B15" s="61" t="s">
        <v>62</v>
      </c>
      <c r="C15" s="62" t="s">
        <v>8</v>
      </c>
      <c r="D15" s="62" t="s">
        <v>18</v>
      </c>
      <c r="E15" s="62" t="s">
        <v>42</v>
      </c>
      <c r="F15" s="64" t="s">
        <v>46</v>
      </c>
      <c r="G15" s="65" t="s">
        <v>9</v>
      </c>
      <c r="H15" s="65" t="s">
        <v>10</v>
      </c>
      <c r="I15" s="65" t="s">
        <v>111</v>
      </c>
      <c r="J15" s="62" t="s">
        <v>114</v>
      </c>
      <c r="K15" s="62" t="s">
        <v>116</v>
      </c>
      <c r="L15" s="62" t="s">
        <v>63</v>
      </c>
      <c r="M15" s="62" t="s">
        <v>67</v>
      </c>
      <c r="N15" s="61" t="s">
        <v>61</v>
      </c>
      <c r="O15" s="62" t="s">
        <v>8</v>
      </c>
      <c r="P15" s="62" t="s">
        <v>18</v>
      </c>
      <c r="Q15" s="64" t="s">
        <v>46</v>
      </c>
      <c r="R15" s="63" t="s">
        <v>113</v>
      </c>
      <c r="S15" s="63" t="s">
        <v>115</v>
      </c>
      <c r="T15" s="65" t="s">
        <v>111</v>
      </c>
      <c r="U15" s="62" t="s">
        <v>114</v>
      </c>
      <c r="V15" s="62" t="s">
        <v>116</v>
      </c>
      <c r="W15" s="62" t="s">
        <v>63</v>
      </c>
      <c r="X15" s="62" t="s">
        <v>67</v>
      </c>
    </row>
    <row r="16" spans="1:24" s="1" customFormat="1" x14ac:dyDescent="0.2">
      <c r="A16" s="66"/>
      <c r="B16" s="20" t="s">
        <v>126</v>
      </c>
      <c r="C16" s="19" t="s">
        <v>39</v>
      </c>
      <c r="D16" s="19" t="s">
        <v>39</v>
      </c>
      <c r="E16" s="19" t="s">
        <v>39</v>
      </c>
      <c r="F16" s="21" t="s">
        <v>45</v>
      </c>
      <c r="G16" s="19" t="s">
        <v>39</v>
      </c>
      <c r="H16" s="19" t="s">
        <v>39</v>
      </c>
      <c r="I16" s="19" t="s">
        <v>39</v>
      </c>
      <c r="J16" s="19" t="s">
        <v>39</v>
      </c>
      <c r="K16" s="19" t="s">
        <v>39</v>
      </c>
      <c r="L16" s="19" t="s">
        <v>64</v>
      </c>
      <c r="M16" s="19" t="s">
        <v>64</v>
      </c>
      <c r="N16" s="20" t="s">
        <v>127</v>
      </c>
      <c r="O16" s="19" t="s">
        <v>39</v>
      </c>
      <c r="P16" s="19" t="s">
        <v>39</v>
      </c>
      <c r="Q16" s="21" t="s">
        <v>45</v>
      </c>
      <c r="R16" s="21" t="s">
        <v>43</v>
      </c>
      <c r="S16" s="21" t="s">
        <v>43</v>
      </c>
      <c r="T16" s="19" t="s">
        <v>39</v>
      </c>
      <c r="U16" s="19" t="s">
        <v>39</v>
      </c>
      <c r="V16" s="19" t="s">
        <v>39</v>
      </c>
      <c r="W16" s="19" t="s">
        <v>64</v>
      </c>
      <c r="X16" s="19" t="s">
        <v>64</v>
      </c>
    </row>
    <row r="17" spans="1:63" s="1" customFormat="1" x14ac:dyDescent="0.2">
      <c r="A17" s="66"/>
      <c r="B17" s="19"/>
      <c r="C17" s="19" t="s">
        <v>40</v>
      </c>
      <c r="D17" s="19" t="s">
        <v>40</v>
      </c>
      <c r="E17" s="19" t="s">
        <v>40</v>
      </c>
      <c r="F17" s="19"/>
      <c r="G17" s="19" t="s">
        <v>112</v>
      </c>
      <c r="H17" s="19" t="s">
        <v>112</v>
      </c>
      <c r="I17" s="19" t="s">
        <v>47</v>
      </c>
      <c r="J17" s="19" t="s">
        <v>47</v>
      </c>
      <c r="K17" s="19" t="s">
        <v>117</v>
      </c>
      <c r="L17" s="19" t="s">
        <v>65</v>
      </c>
      <c r="M17" s="19" t="s">
        <v>68</v>
      </c>
      <c r="N17" s="19" t="s">
        <v>128</v>
      </c>
      <c r="O17" s="19" t="s">
        <v>40</v>
      </c>
      <c r="P17" s="19" t="s">
        <v>40</v>
      </c>
      <c r="Q17" s="19"/>
      <c r="R17" s="21" t="s">
        <v>112</v>
      </c>
      <c r="S17" s="21" t="s">
        <v>112</v>
      </c>
      <c r="T17" s="19" t="s">
        <v>47</v>
      </c>
      <c r="U17" s="19" t="s">
        <v>47</v>
      </c>
      <c r="V17" s="19" t="s">
        <v>117</v>
      </c>
      <c r="W17" s="19" t="s">
        <v>65</v>
      </c>
      <c r="X17" s="19" t="s">
        <v>68</v>
      </c>
    </row>
    <row r="18" spans="1:63" s="1" customFormat="1" x14ac:dyDescent="0.2">
      <c r="A18" s="66"/>
      <c r="B18" s="19"/>
      <c r="C18" s="19" t="s">
        <v>112</v>
      </c>
      <c r="D18" s="19" t="s">
        <v>47</v>
      </c>
      <c r="E18" s="19" t="s">
        <v>110</v>
      </c>
      <c r="F18" s="19"/>
      <c r="G18" s="19" t="s">
        <v>41</v>
      </c>
      <c r="H18" s="19" t="s">
        <v>44</v>
      </c>
      <c r="I18" s="19" t="s">
        <v>44</v>
      </c>
      <c r="J18" s="19" t="s">
        <v>48</v>
      </c>
      <c r="K18" s="19" t="s">
        <v>48</v>
      </c>
      <c r="L18" s="19" t="s">
        <v>66</v>
      </c>
      <c r="M18" s="19" t="s">
        <v>66</v>
      </c>
      <c r="N18" s="19"/>
      <c r="O18" s="19" t="s">
        <v>112</v>
      </c>
      <c r="P18" s="19" t="s">
        <v>47</v>
      </c>
      <c r="Q18" s="19"/>
      <c r="R18" s="19" t="s">
        <v>41</v>
      </c>
      <c r="S18" s="19" t="s">
        <v>44</v>
      </c>
      <c r="T18" s="19" t="s">
        <v>44</v>
      </c>
      <c r="U18" s="19" t="s">
        <v>48</v>
      </c>
      <c r="V18" s="19" t="s">
        <v>48</v>
      </c>
      <c r="W18" s="19" t="s">
        <v>66</v>
      </c>
      <c r="X18" s="19" t="s">
        <v>66</v>
      </c>
    </row>
    <row r="19" spans="1:63" s="1" customFormat="1" x14ac:dyDescent="0.2">
      <c r="A19" s="6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63" s="1" customFormat="1" x14ac:dyDescent="0.2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spans="1:63" s="1" customFormat="1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63" s="1" customFormat="1" x14ac:dyDescent="0.2">
      <c r="A22" s="22" t="s">
        <v>54</v>
      </c>
      <c r="B22" s="83"/>
      <c r="C22" s="85">
        <v>4</v>
      </c>
      <c r="D22" s="85">
        <v>8</v>
      </c>
      <c r="E22" s="85">
        <v>8</v>
      </c>
      <c r="F22" s="85">
        <v>10</v>
      </c>
      <c r="G22" s="85">
        <v>4</v>
      </c>
      <c r="H22" s="85">
        <v>4</v>
      </c>
      <c r="I22" s="85">
        <v>10</v>
      </c>
      <c r="J22" s="84">
        <v>10</v>
      </c>
      <c r="K22" s="84">
        <v>30</v>
      </c>
      <c r="L22" s="84"/>
      <c r="M22" s="84"/>
      <c r="N22" s="83"/>
      <c r="O22" s="84">
        <v>3</v>
      </c>
      <c r="P22" s="84">
        <v>6</v>
      </c>
      <c r="Q22" s="85">
        <v>10</v>
      </c>
      <c r="R22" s="85">
        <v>3</v>
      </c>
      <c r="S22" s="85">
        <v>3</v>
      </c>
      <c r="T22" s="85">
        <v>10</v>
      </c>
      <c r="U22" s="84">
        <v>10</v>
      </c>
      <c r="V22" s="84">
        <v>30</v>
      </c>
      <c r="W22" s="84"/>
      <c r="X22" s="84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1" customFormat="1" x14ac:dyDescent="0.2">
      <c r="A23" s="22" t="s">
        <v>37</v>
      </c>
      <c r="B23" s="83"/>
      <c r="C23" s="109">
        <f>IF(C22&gt;30,"Leistung zu hoch",IF(C22&lt;=10,$B$7,ROUND(100*(10*$B$7+(C22-10)*$B$8)/C22,2)/100))</f>
        <v>8.1999999999999993</v>
      </c>
      <c r="D23" s="109">
        <f>IF(D22&gt;30,"Leistung zu hoch",IF(D22&lt;=10,$B$7,ROUND(100*(10*$B$7+(D22-10)*$B$8)/D22,2)/100))</f>
        <v>8.1999999999999993</v>
      </c>
      <c r="E23" s="109">
        <f>IF(E22&gt;30,"Leistung zu hoch",IF(E22&lt;=10,$B$7,ROUND(100*(10*$B$7+(E22-10)*$B$8)/E22,2)/100))</f>
        <v>8.1999999999999993</v>
      </c>
      <c r="F23" s="109">
        <f>IF(F22&gt;30,"Leistung zu hoch",IF(F22&lt;=10,$B$10,ROUND(100*(10*$B$10+(F22-10)*$B$12)/F22,2)/100))</f>
        <v>13</v>
      </c>
      <c r="G23" s="109">
        <f t="shared" ref="G23:H23" si="0">IF(G22&gt;30,"Leistung zu hoch",IF(G22&lt;=10,$B$7,ROUND(100*(10*$B$7+(G22-10)*$B$8)/G22,2)/100))</f>
        <v>8.1999999999999993</v>
      </c>
      <c r="H23" s="109">
        <f t="shared" si="0"/>
        <v>8.1999999999999993</v>
      </c>
      <c r="I23" s="109">
        <f t="shared" ref="I23:K23" si="1">IF(I22&gt;30,"Leistung zu hoch",IF(I22&lt;=10,$B$7,ROUND(100*(10*$B$7+(I22-10)*$B$8)/I22,2)/100))</f>
        <v>8.1999999999999993</v>
      </c>
      <c r="J23" s="109">
        <f t="shared" ref="J23" si="2">IF(J22&gt;30,"Leistung zu hoch",IF(J22&lt;=10,$B$7,ROUND(100*(10*$B$7+(J22-10)*$B$8)/J22,2)/100))</f>
        <v>8.1999999999999993</v>
      </c>
      <c r="K23" s="109">
        <f t="shared" si="1"/>
        <v>7.4666999999999994</v>
      </c>
      <c r="L23" s="84"/>
      <c r="M23" s="84"/>
      <c r="N23" s="83"/>
      <c r="O23" s="109">
        <f t="shared" ref="O23" si="3">IF(O22&gt;30,"Leistung zu hoch",IF(O22&lt;=10,$B$7,ROUND(100*(10*$B$7+(O22-10)*$B$8)/O22,2)/100))</f>
        <v>8.1999999999999993</v>
      </c>
      <c r="P23" s="109">
        <f t="shared" ref="P23" si="4">IF(P22&gt;30,"Leistung zu hoch",IF(P22&lt;=10,$B$7,ROUND(100*(10*$B$7+(P22-10)*$B$8)/P22,2)/100))</f>
        <v>8.1999999999999993</v>
      </c>
      <c r="Q23" s="109">
        <f>IF(Q22&gt;30,"Leistung zu hoch",IF(Q22&lt;=10,$B$10,ROUND(100*(10*$B$10+(Q22-10)*$B$12)/Q22,2)/100))</f>
        <v>13</v>
      </c>
      <c r="R23" s="109">
        <f t="shared" ref="R23:S23" si="5">IF(R22&gt;30,"Leistung zu hoch",IF(R22&lt;=10,$B$7,ROUND(100*(10*$B$7+(R22-10)*$B$8)/R22,2)/100))</f>
        <v>8.1999999999999993</v>
      </c>
      <c r="S23" s="109">
        <f t="shared" si="5"/>
        <v>8.1999999999999993</v>
      </c>
      <c r="T23" s="109">
        <f t="shared" ref="T23" si="6">IF(T22&gt;30,"Leistung zu hoch",IF(T22&lt;=10,$B$7,ROUND(100*(10*$B$7+(T22-10)*$B$8)/T22,2)/100))</f>
        <v>8.1999999999999993</v>
      </c>
      <c r="U23" s="109">
        <f t="shared" ref="U23:V23" si="7">IF(U22&gt;30,"Leistung zu hoch",IF(U22&lt;=10,$B$7,ROUND(100*(10*$B$7+(U22-10)*$B$8)/U22,2)/100))</f>
        <v>8.1999999999999993</v>
      </c>
      <c r="V23" s="109">
        <f t="shared" si="7"/>
        <v>7.4666999999999994</v>
      </c>
      <c r="W23" s="84"/>
      <c r="X23" s="84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1" customFormat="1" x14ac:dyDescent="0.2">
      <c r="A24" s="23" t="s">
        <v>55</v>
      </c>
      <c r="B24" s="86"/>
      <c r="C24" s="86"/>
      <c r="D24" s="86"/>
      <c r="E24" s="86"/>
      <c r="F24" s="87"/>
      <c r="G24" s="86">
        <v>4</v>
      </c>
      <c r="H24" s="86">
        <v>8</v>
      </c>
      <c r="I24" s="86">
        <v>8</v>
      </c>
      <c r="J24" s="86">
        <v>16</v>
      </c>
      <c r="K24" s="86">
        <v>30</v>
      </c>
      <c r="L24" s="86"/>
      <c r="M24" s="86"/>
      <c r="N24" s="86"/>
      <c r="O24" s="86"/>
      <c r="P24" s="86"/>
      <c r="Q24" s="87"/>
      <c r="R24" s="87">
        <v>3</v>
      </c>
      <c r="S24" s="87">
        <v>6</v>
      </c>
      <c r="T24" s="86">
        <v>8</v>
      </c>
      <c r="U24" s="86">
        <v>16</v>
      </c>
      <c r="V24" s="86">
        <v>30</v>
      </c>
      <c r="W24" s="86"/>
      <c r="X24" s="86"/>
    </row>
    <row r="25" spans="1:63" s="1" customFormat="1" x14ac:dyDescent="0.2">
      <c r="A25" s="23" t="s">
        <v>51</v>
      </c>
      <c r="B25" s="24"/>
      <c r="C25" s="89">
        <v>2000</v>
      </c>
      <c r="D25" s="89">
        <v>1660</v>
      </c>
      <c r="E25" s="89">
        <v>1660</v>
      </c>
      <c r="F25" s="89">
        <v>1500</v>
      </c>
      <c r="G25" s="89">
        <v>2000</v>
      </c>
      <c r="H25" s="89">
        <v>2000</v>
      </c>
      <c r="I25" s="89">
        <v>1500</v>
      </c>
      <c r="J25" s="89">
        <v>1500</v>
      </c>
      <c r="K25" s="89">
        <v>1000</v>
      </c>
      <c r="L25" s="89"/>
      <c r="M25" s="89"/>
      <c r="N25" s="24"/>
      <c r="O25" s="89">
        <v>2100</v>
      </c>
      <c r="P25" s="89">
        <v>1830</v>
      </c>
      <c r="Q25" s="89">
        <v>1500</v>
      </c>
      <c r="R25" s="89">
        <v>2100</v>
      </c>
      <c r="S25" s="89">
        <v>2100</v>
      </c>
      <c r="T25" s="89">
        <v>1500</v>
      </c>
      <c r="U25" s="89">
        <v>1500</v>
      </c>
      <c r="V25" s="89">
        <v>1000</v>
      </c>
      <c r="W25" s="89"/>
      <c r="X25" s="89"/>
    </row>
    <row r="26" spans="1:63" s="1" customFormat="1" x14ac:dyDescent="0.2">
      <c r="A26" s="23" t="s">
        <v>5</v>
      </c>
      <c r="B26" s="24"/>
      <c r="C26" s="24">
        <f>100*ROUND(C22*C25/100,0)</f>
        <v>8000</v>
      </c>
      <c r="D26" s="24">
        <f t="shared" ref="D26:K26" si="8">100*ROUND(D22*D25/100,0)</f>
        <v>13300</v>
      </c>
      <c r="E26" s="24">
        <f t="shared" si="8"/>
        <v>13300</v>
      </c>
      <c r="F26" s="24">
        <f t="shared" si="8"/>
        <v>15000</v>
      </c>
      <c r="G26" s="24">
        <f t="shared" si="8"/>
        <v>8000</v>
      </c>
      <c r="H26" s="24">
        <f t="shared" si="8"/>
        <v>8000</v>
      </c>
      <c r="I26" s="24">
        <f t="shared" si="8"/>
        <v>15000</v>
      </c>
      <c r="J26" s="24">
        <f t="shared" si="8"/>
        <v>15000</v>
      </c>
      <c r="K26" s="24">
        <f t="shared" si="8"/>
        <v>30000</v>
      </c>
      <c r="L26" s="24"/>
      <c r="M26" s="24"/>
      <c r="N26" s="24"/>
      <c r="O26" s="24">
        <f t="shared" ref="O26" si="9">100*ROUND(O22*O25/100,0)</f>
        <v>6300</v>
      </c>
      <c r="P26" s="24">
        <f t="shared" ref="P26" si="10">100*ROUND(P22*P25/100,0)</f>
        <v>11000</v>
      </c>
      <c r="Q26" s="24">
        <f t="shared" ref="Q26" si="11">100*ROUND(Q22*Q25/100,0)</f>
        <v>15000</v>
      </c>
      <c r="R26" s="24">
        <f t="shared" ref="R26" si="12">100*ROUND(R22*R25/100,0)</f>
        <v>6300</v>
      </c>
      <c r="S26" s="24">
        <f t="shared" ref="S26" si="13">100*ROUND(S22*S25/100,0)</f>
        <v>6300</v>
      </c>
      <c r="T26" s="24">
        <f t="shared" ref="T26" si="14">100*ROUND(T22*T25/100,0)</f>
        <v>15000</v>
      </c>
      <c r="U26" s="24">
        <f t="shared" ref="U26" si="15">100*ROUND(U22*U25/100,0)</f>
        <v>15000</v>
      </c>
      <c r="V26" s="24">
        <f t="shared" ref="V26" si="16">100*ROUND(V22*V25/100,0)</f>
        <v>30000</v>
      </c>
      <c r="W26" s="24"/>
      <c r="X26" s="24"/>
    </row>
    <row r="27" spans="1:63" s="1" customFormat="1" x14ac:dyDescent="0.2">
      <c r="A27" s="23" t="s">
        <v>52</v>
      </c>
      <c r="B27" s="24"/>
      <c r="C27" s="24"/>
      <c r="D27" s="24"/>
      <c r="E27" s="24"/>
      <c r="F27" s="90"/>
      <c r="G27" s="90">
        <v>1400</v>
      </c>
      <c r="H27" s="90">
        <v>1100</v>
      </c>
      <c r="I27" s="90">
        <v>1100</v>
      </c>
      <c r="J27" s="90">
        <v>1000</v>
      </c>
      <c r="K27" s="90">
        <v>800</v>
      </c>
      <c r="L27" s="90"/>
      <c r="M27" s="90"/>
      <c r="N27" s="24"/>
      <c r="O27" s="24"/>
      <c r="P27" s="24"/>
      <c r="Q27" s="90"/>
      <c r="R27" s="90">
        <v>1500</v>
      </c>
      <c r="S27" s="90">
        <v>1200</v>
      </c>
      <c r="T27" s="90">
        <v>1100</v>
      </c>
      <c r="U27" s="90">
        <v>1000</v>
      </c>
      <c r="V27" s="90">
        <v>800</v>
      </c>
      <c r="W27" s="90"/>
      <c r="X27" s="90"/>
    </row>
    <row r="28" spans="1:63" s="1" customFormat="1" x14ac:dyDescent="0.2">
      <c r="A28" s="25" t="s">
        <v>6</v>
      </c>
      <c r="B28" s="26"/>
      <c r="C28" s="26"/>
      <c r="D28" s="26"/>
      <c r="E28" s="26"/>
      <c r="F28" s="26"/>
      <c r="G28" s="26">
        <f>G24*G27</f>
        <v>5600</v>
      </c>
      <c r="H28" s="26">
        <f>H24*H27</f>
        <v>8800</v>
      </c>
      <c r="I28" s="26">
        <f>I24*I27</f>
        <v>8800</v>
      </c>
      <c r="J28" s="26">
        <f>J24*J27</f>
        <v>16000</v>
      </c>
      <c r="K28" s="26">
        <f>K24*K27</f>
        <v>24000</v>
      </c>
      <c r="L28" s="26"/>
      <c r="M28" s="26"/>
      <c r="N28" s="26"/>
      <c r="O28" s="26"/>
      <c r="P28" s="26"/>
      <c r="Q28" s="26"/>
      <c r="R28" s="26">
        <f t="shared" ref="R28:V28" si="17">R24*R27</f>
        <v>4500</v>
      </c>
      <c r="S28" s="26">
        <f t="shared" si="17"/>
        <v>7200</v>
      </c>
      <c r="T28" s="26">
        <f t="shared" si="17"/>
        <v>8800</v>
      </c>
      <c r="U28" s="26">
        <f t="shared" si="17"/>
        <v>16000</v>
      </c>
      <c r="V28" s="26">
        <f t="shared" si="17"/>
        <v>24000</v>
      </c>
      <c r="W28" s="26"/>
      <c r="X28" s="26"/>
    </row>
    <row r="29" spans="1:63" s="1" customFormat="1" x14ac:dyDescent="0.2">
      <c r="A29" s="25" t="s">
        <v>105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111">
        <v>0.3</v>
      </c>
      <c r="M29" s="111">
        <v>0.3</v>
      </c>
      <c r="N29" s="26"/>
      <c r="O29" s="26"/>
      <c r="P29" s="26"/>
      <c r="Q29" s="26"/>
      <c r="R29" s="26"/>
      <c r="S29" s="26"/>
      <c r="T29" s="26"/>
      <c r="U29" s="26"/>
      <c r="V29" s="26"/>
      <c r="W29" s="111">
        <v>0.3</v>
      </c>
      <c r="X29" s="111">
        <v>0.3</v>
      </c>
    </row>
    <row r="30" spans="1:63" s="1" customFormat="1" x14ac:dyDescent="0.2">
      <c r="A30" s="25" t="s">
        <v>106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112">
        <v>4</v>
      </c>
      <c r="M30" s="112">
        <v>6</v>
      </c>
      <c r="N30" s="26"/>
      <c r="O30" s="26"/>
      <c r="P30" s="26"/>
      <c r="Q30" s="26"/>
      <c r="R30" s="26"/>
      <c r="S30" s="26"/>
      <c r="T30" s="26"/>
      <c r="U30" s="26"/>
      <c r="V30" s="26"/>
      <c r="W30" s="112">
        <v>4</v>
      </c>
      <c r="X30" s="112">
        <v>6</v>
      </c>
    </row>
    <row r="31" spans="1:63" s="103" customFormat="1" x14ac:dyDescent="0.2">
      <c r="A31" s="113" t="s">
        <v>107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5">
        <f xml:space="preserve"> 10 *ROUND(L29*38.3/L30^3,1)</f>
        <v>2</v>
      </c>
      <c r="M31" s="115">
        <f xml:space="preserve"> 10 *ROUND(M29*38.3/M30^3,1)</f>
        <v>1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5">
        <f t="shared" ref="W31:X31" si="18" xml:space="preserve"> 10 *ROUND(W29*38.3/W30^3,1)</f>
        <v>2</v>
      </c>
      <c r="X31" s="115">
        <f t="shared" si="18"/>
        <v>1</v>
      </c>
    </row>
    <row r="32" spans="1:63" s="103" customFormat="1" x14ac:dyDescent="0.2">
      <c r="A32" s="113" t="s">
        <v>108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6">
        <f>8760/1728*L30^3</f>
        <v>324.44444444444446</v>
      </c>
      <c r="M32" s="116">
        <f>8760/1728*M30^3</f>
        <v>1095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6">
        <f t="shared" ref="W32:X32" si="19">8760/1728*W30^3</f>
        <v>324.44444444444446</v>
      </c>
      <c r="X32" s="116">
        <f t="shared" si="19"/>
        <v>1095</v>
      </c>
    </row>
    <row r="33" spans="1:24" s="1" customFormat="1" x14ac:dyDescent="0.2">
      <c r="A33" s="23" t="s">
        <v>69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>
        <v>10000</v>
      </c>
      <c r="M33" s="24">
        <v>5000</v>
      </c>
      <c r="N33" s="24"/>
      <c r="O33" s="24"/>
      <c r="P33" s="24"/>
      <c r="Q33" s="24"/>
      <c r="R33" s="24"/>
      <c r="S33" s="24"/>
      <c r="T33" s="24"/>
      <c r="U33" s="24"/>
      <c r="V33" s="24"/>
      <c r="W33" s="24">
        <v>10000</v>
      </c>
      <c r="X33" s="24">
        <v>5000</v>
      </c>
    </row>
    <row r="34" spans="1:24" s="1" customFormat="1" x14ac:dyDescent="0.2">
      <c r="A34" s="70" t="s">
        <v>1</v>
      </c>
      <c r="B34" s="39">
        <f>SUM(B26:B33)</f>
        <v>0</v>
      </c>
      <c r="C34" s="39">
        <f t="shared" ref="C34:K34" si="20">C26+C28</f>
        <v>8000</v>
      </c>
      <c r="D34" s="39">
        <f t="shared" si="20"/>
        <v>13300</v>
      </c>
      <c r="E34" s="39">
        <f t="shared" si="20"/>
        <v>13300</v>
      </c>
      <c r="F34" s="39">
        <f t="shared" si="20"/>
        <v>15000</v>
      </c>
      <c r="G34" s="39">
        <f t="shared" ref="G34:H34" si="21">G26+G28</f>
        <v>13600</v>
      </c>
      <c r="H34" s="39">
        <f t="shared" si="21"/>
        <v>16800</v>
      </c>
      <c r="I34" s="39">
        <f t="shared" si="20"/>
        <v>23800</v>
      </c>
      <c r="J34" s="39">
        <f t="shared" ref="J34" si="22">J26+J28</f>
        <v>31000</v>
      </c>
      <c r="K34" s="39">
        <f t="shared" si="20"/>
        <v>54000</v>
      </c>
      <c r="L34" s="39">
        <f>L33</f>
        <v>10000</v>
      </c>
      <c r="M34" s="39">
        <f>M33</f>
        <v>5000</v>
      </c>
      <c r="N34" s="39">
        <f>SUM(N26:N33)</f>
        <v>0</v>
      </c>
      <c r="O34" s="39">
        <f t="shared" ref="O34:V34" si="23">O26+O28</f>
        <v>6300</v>
      </c>
      <c r="P34" s="39">
        <f t="shared" ref="P34" si="24">P26+P28</f>
        <v>11000</v>
      </c>
      <c r="Q34" s="39">
        <f t="shared" si="23"/>
        <v>15000</v>
      </c>
      <c r="R34" s="39">
        <f>R26+R28</f>
        <v>10800</v>
      </c>
      <c r="S34" s="39">
        <f>S26+S28</f>
        <v>13500</v>
      </c>
      <c r="T34" s="39">
        <f t="shared" si="23"/>
        <v>23800</v>
      </c>
      <c r="U34" s="39">
        <f t="shared" ref="U34" si="25">U26+U28</f>
        <v>31000</v>
      </c>
      <c r="V34" s="39">
        <f t="shared" si="23"/>
        <v>54000</v>
      </c>
      <c r="W34" s="39">
        <f>W33</f>
        <v>10000</v>
      </c>
      <c r="X34" s="39">
        <f>X33</f>
        <v>5000</v>
      </c>
    </row>
    <row r="35" spans="1:24" s="1" customFormat="1" x14ac:dyDescent="0.2">
      <c r="A35" s="23" t="s">
        <v>73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</row>
    <row r="36" spans="1:24" s="1" customFormat="1" x14ac:dyDescent="0.2">
      <c r="A36" s="25" t="s">
        <v>36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2">
      <c r="A37" s="70" t="s">
        <v>4</v>
      </c>
      <c r="B37" s="39"/>
      <c r="C37" s="39">
        <f>C35+C36</f>
        <v>0</v>
      </c>
      <c r="D37" s="39">
        <f>D35+D36</f>
        <v>0</v>
      </c>
      <c r="E37" s="39">
        <f>E35+E36</f>
        <v>0</v>
      </c>
      <c r="F37" s="39">
        <f t="shared" ref="F37:M37" si="26">F35+F36</f>
        <v>0</v>
      </c>
      <c r="G37" s="39">
        <f t="shared" ref="G37:H37" si="27">G35+G36</f>
        <v>0</v>
      </c>
      <c r="H37" s="39">
        <f t="shared" si="27"/>
        <v>0</v>
      </c>
      <c r="I37" s="39">
        <f t="shared" si="26"/>
        <v>0</v>
      </c>
      <c r="J37" s="39">
        <f t="shared" ref="J37" si="28">J35+J36</f>
        <v>0</v>
      </c>
      <c r="K37" s="39">
        <f t="shared" si="26"/>
        <v>0</v>
      </c>
      <c r="L37" s="39">
        <f t="shared" si="26"/>
        <v>0</v>
      </c>
      <c r="M37" s="39">
        <f t="shared" si="26"/>
        <v>0</v>
      </c>
      <c r="N37" s="39"/>
      <c r="O37" s="39">
        <f>O35+O36</f>
        <v>0</v>
      </c>
      <c r="P37" s="39">
        <f>P35+P36</f>
        <v>0</v>
      </c>
      <c r="Q37" s="39">
        <f t="shared" ref="Q37:X37" si="29">Q35+Q36</f>
        <v>0</v>
      </c>
      <c r="R37" s="39">
        <f>R35+R36</f>
        <v>0</v>
      </c>
      <c r="S37" s="39">
        <f>S35+S36</f>
        <v>0</v>
      </c>
      <c r="T37" s="39">
        <f t="shared" si="29"/>
        <v>0</v>
      </c>
      <c r="U37" s="39">
        <f t="shared" ref="U37" si="30">U35+U36</f>
        <v>0</v>
      </c>
      <c r="V37" s="39">
        <f t="shared" si="29"/>
        <v>0</v>
      </c>
      <c r="W37" s="39">
        <f t="shared" si="29"/>
        <v>0</v>
      </c>
      <c r="X37" s="39">
        <f t="shared" si="29"/>
        <v>0</v>
      </c>
    </row>
    <row r="38" spans="1:24" x14ac:dyDescent="0.2">
      <c r="A38" s="27" t="s">
        <v>7</v>
      </c>
      <c r="B38" s="28">
        <f t="shared" ref="B38:K38" si="31">B34-B37</f>
        <v>0</v>
      </c>
      <c r="C38" s="28">
        <f t="shared" si="31"/>
        <v>8000</v>
      </c>
      <c r="D38" s="28">
        <f t="shared" si="31"/>
        <v>13300</v>
      </c>
      <c r="E38" s="28">
        <f t="shared" si="31"/>
        <v>13300</v>
      </c>
      <c r="F38" s="28">
        <f t="shared" si="31"/>
        <v>15000</v>
      </c>
      <c r="G38" s="28">
        <f t="shared" ref="G38:H38" si="32">G34-G37</f>
        <v>13600</v>
      </c>
      <c r="H38" s="28">
        <f t="shared" si="32"/>
        <v>16800</v>
      </c>
      <c r="I38" s="28">
        <f t="shared" si="31"/>
        <v>23800</v>
      </c>
      <c r="J38" s="28">
        <f t="shared" ref="J38" si="33">J34-J37</f>
        <v>31000</v>
      </c>
      <c r="K38" s="28">
        <f t="shared" si="31"/>
        <v>54000</v>
      </c>
      <c r="L38" s="28">
        <f t="shared" ref="L38:M38" si="34">L34-L37</f>
        <v>10000</v>
      </c>
      <c r="M38" s="28">
        <f t="shared" si="34"/>
        <v>5000</v>
      </c>
      <c r="N38" s="28">
        <f t="shared" ref="N38:X38" si="35">N34-N37</f>
        <v>0</v>
      </c>
      <c r="O38" s="28">
        <f t="shared" si="35"/>
        <v>6300</v>
      </c>
      <c r="P38" s="28">
        <f t="shared" ref="P38" si="36">P34-P37</f>
        <v>11000</v>
      </c>
      <c r="Q38" s="28">
        <f t="shared" si="35"/>
        <v>15000</v>
      </c>
      <c r="R38" s="28">
        <f>R34-R37</f>
        <v>10800</v>
      </c>
      <c r="S38" s="28">
        <f>S34-S37</f>
        <v>13500</v>
      </c>
      <c r="T38" s="28">
        <f t="shared" si="35"/>
        <v>23800</v>
      </c>
      <c r="U38" s="28">
        <f t="shared" ref="U38" si="37">U34-U37</f>
        <v>31000</v>
      </c>
      <c r="V38" s="28">
        <f t="shared" si="35"/>
        <v>54000</v>
      </c>
      <c r="W38" s="28">
        <f t="shared" si="35"/>
        <v>10000</v>
      </c>
      <c r="X38" s="28">
        <f t="shared" si="35"/>
        <v>5000</v>
      </c>
    </row>
    <row r="39" spans="1:24" x14ac:dyDescent="0.2">
      <c r="A39" s="70" t="s">
        <v>19</v>
      </c>
      <c r="B39" s="40">
        <v>0</v>
      </c>
      <c r="C39" s="40">
        <f t="shared" ref="C39:M39" si="38">C38-$B$38</f>
        <v>8000</v>
      </c>
      <c r="D39" s="40">
        <f t="shared" si="38"/>
        <v>13300</v>
      </c>
      <c r="E39" s="40">
        <f t="shared" si="38"/>
        <v>13300</v>
      </c>
      <c r="F39" s="40">
        <f t="shared" si="38"/>
        <v>15000</v>
      </c>
      <c r="G39" s="40">
        <f t="shared" ref="G39:H39" si="39">G38-$B$38</f>
        <v>13600</v>
      </c>
      <c r="H39" s="40">
        <f t="shared" si="39"/>
        <v>16800</v>
      </c>
      <c r="I39" s="40">
        <f t="shared" si="38"/>
        <v>23800</v>
      </c>
      <c r="J39" s="40">
        <f t="shared" ref="J39" si="40">J38-$B$38</f>
        <v>31000</v>
      </c>
      <c r="K39" s="40">
        <f t="shared" si="38"/>
        <v>54000</v>
      </c>
      <c r="L39" s="40">
        <f t="shared" si="38"/>
        <v>10000</v>
      </c>
      <c r="M39" s="40">
        <f t="shared" si="38"/>
        <v>5000</v>
      </c>
      <c r="N39" s="40">
        <v>0</v>
      </c>
      <c r="O39" s="40">
        <f t="shared" ref="O39:X39" si="41">O38-$B$38</f>
        <v>6300</v>
      </c>
      <c r="P39" s="40">
        <f t="shared" ref="P39" si="42">P38-$B$38</f>
        <v>11000</v>
      </c>
      <c r="Q39" s="40">
        <f t="shared" si="41"/>
        <v>15000</v>
      </c>
      <c r="R39" s="40">
        <f>R38-$B$38</f>
        <v>10800</v>
      </c>
      <c r="S39" s="40">
        <f>S38-$B$38</f>
        <v>13500</v>
      </c>
      <c r="T39" s="40">
        <f t="shared" si="41"/>
        <v>23800</v>
      </c>
      <c r="U39" s="40">
        <f t="shared" ref="U39" si="43">U38-$B$38</f>
        <v>31000</v>
      </c>
      <c r="V39" s="40">
        <f t="shared" si="41"/>
        <v>54000</v>
      </c>
      <c r="W39" s="40">
        <f t="shared" si="41"/>
        <v>10000</v>
      </c>
      <c r="X39" s="40">
        <f t="shared" si="41"/>
        <v>5000</v>
      </c>
    </row>
    <row r="40" spans="1:24" x14ac:dyDescent="0.2">
      <c r="A40" s="23" t="s">
        <v>109</v>
      </c>
      <c r="B40" s="91">
        <v>4000</v>
      </c>
      <c r="C40" s="91">
        <v>4000</v>
      </c>
      <c r="D40" s="91">
        <f>C40</f>
        <v>4000</v>
      </c>
      <c r="E40" s="91">
        <f>C40</f>
        <v>4000</v>
      </c>
      <c r="F40" s="91">
        <v>4000</v>
      </c>
      <c r="G40" s="91">
        <v>4000</v>
      </c>
      <c r="H40" s="91">
        <v>4000</v>
      </c>
      <c r="I40" s="91">
        <v>4000</v>
      </c>
      <c r="J40" s="91">
        <v>4000</v>
      </c>
      <c r="K40" s="91">
        <v>4000</v>
      </c>
      <c r="L40" s="91">
        <v>4000</v>
      </c>
      <c r="M40" s="91">
        <v>4000</v>
      </c>
      <c r="N40" s="91">
        <v>3000</v>
      </c>
      <c r="O40" s="91">
        <v>3000</v>
      </c>
      <c r="P40" s="91">
        <v>3000</v>
      </c>
      <c r="Q40" s="91">
        <v>3000</v>
      </c>
      <c r="R40" s="91">
        <v>3000</v>
      </c>
      <c r="S40" s="91">
        <v>3000</v>
      </c>
      <c r="T40" s="91">
        <v>3000</v>
      </c>
      <c r="U40" s="91">
        <v>3000</v>
      </c>
      <c r="V40" s="91">
        <v>3000</v>
      </c>
      <c r="W40" s="91">
        <v>3000</v>
      </c>
      <c r="X40" s="91">
        <v>3000</v>
      </c>
    </row>
    <row r="41" spans="1:24" x14ac:dyDescent="0.2">
      <c r="A41" s="29" t="s">
        <v>13</v>
      </c>
      <c r="B41" s="30">
        <f>B40</f>
        <v>4000</v>
      </c>
      <c r="C41" s="30">
        <f t="shared" ref="C41:X41" si="44">C40</f>
        <v>4000</v>
      </c>
      <c r="D41" s="30">
        <f t="shared" si="44"/>
        <v>4000</v>
      </c>
      <c r="E41" s="30">
        <f t="shared" si="44"/>
        <v>4000</v>
      </c>
      <c r="F41" s="30">
        <f t="shared" si="44"/>
        <v>4000</v>
      </c>
      <c r="G41" s="30">
        <f t="shared" ref="G41:H41" si="45">G40</f>
        <v>4000</v>
      </c>
      <c r="H41" s="30">
        <f t="shared" si="45"/>
        <v>4000</v>
      </c>
      <c r="I41" s="30">
        <f t="shared" si="44"/>
        <v>4000</v>
      </c>
      <c r="J41" s="30">
        <f t="shared" ref="J41" si="46">J40</f>
        <v>4000</v>
      </c>
      <c r="K41" s="30">
        <f t="shared" si="44"/>
        <v>4000</v>
      </c>
      <c r="L41" s="30">
        <f t="shared" si="44"/>
        <v>4000</v>
      </c>
      <c r="M41" s="30">
        <f t="shared" si="44"/>
        <v>4000</v>
      </c>
      <c r="N41" s="30">
        <f t="shared" si="44"/>
        <v>3000</v>
      </c>
      <c r="O41" s="30">
        <f t="shared" si="44"/>
        <v>3000</v>
      </c>
      <c r="P41" s="30">
        <f t="shared" ref="P41" si="47">P40</f>
        <v>3000</v>
      </c>
      <c r="Q41" s="30">
        <f t="shared" si="44"/>
        <v>3000</v>
      </c>
      <c r="R41" s="30">
        <f>R40</f>
        <v>3000</v>
      </c>
      <c r="S41" s="30">
        <f>S40</f>
        <v>3000</v>
      </c>
      <c r="T41" s="30">
        <f t="shared" si="44"/>
        <v>3000</v>
      </c>
      <c r="U41" s="30">
        <f t="shared" ref="U41" si="48">U40</f>
        <v>3000</v>
      </c>
      <c r="V41" s="30">
        <f t="shared" si="44"/>
        <v>3000</v>
      </c>
      <c r="W41" s="30">
        <f t="shared" si="44"/>
        <v>3000</v>
      </c>
      <c r="X41" s="30">
        <f t="shared" si="44"/>
        <v>3000</v>
      </c>
    </row>
    <row r="42" spans="1:24" x14ac:dyDescent="0.2">
      <c r="A42" s="29" t="s">
        <v>21</v>
      </c>
      <c r="B42" s="31">
        <f t="shared" ref="B42:X42" si="49">10*ROUNDUP((+B40*$E$5)/1000,0)</f>
        <v>1770</v>
      </c>
      <c r="C42" s="31">
        <f t="shared" si="49"/>
        <v>1770</v>
      </c>
      <c r="D42" s="31">
        <f t="shared" si="49"/>
        <v>1770</v>
      </c>
      <c r="E42" s="31">
        <f t="shared" si="49"/>
        <v>1770</v>
      </c>
      <c r="F42" s="31">
        <f t="shared" si="49"/>
        <v>1770</v>
      </c>
      <c r="G42" s="31">
        <f t="shared" ref="G42:H42" si="50">10*ROUNDUP((+G40*$E$5)/1000,0)</f>
        <v>1770</v>
      </c>
      <c r="H42" s="31">
        <f t="shared" si="50"/>
        <v>1770</v>
      </c>
      <c r="I42" s="31">
        <f t="shared" si="49"/>
        <v>1770</v>
      </c>
      <c r="J42" s="31">
        <f t="shared" ref="J42" si="51">10*ROUNDUP((+J40*$E$5)/1000,0)</f>
        <v>1770</v>
      </c>
      <c r="K42" s="31">
        <f t="shared" si="49"/>
        <v>1770</v>
      </c>
      <c r="L42" s="31">
        <f t="shared" si="49"/>
        <v>1770</v>
      </c>
      <c r="M42" s="31">
        <f t="shared" si="49"/>
        <v>1770</v>
      </c>
      <c r="N42" s="31">
        <f t="shared" si="49"/>
        <v>1330</v>
      </c>
      <c r="O42" s="31">
        <f t="shared" si="49"/>
        <v>1330</v>
      </c>
      <c r="P42" s="31">
        <f t="shared" ref="P42" si="52">10*ROUNDUP((+P40*$E$5)/1000,0)</f>
        <v>1330</v>
      </c>
      <c r="Q42" s="31">
        <f t="shared" si="49"/>
        <v>1330</v>
      </c>
      <c r="R42" s="31">
        <f>10*ROUNDUP((+R40*$E$5)/1000,0)</f>
        <v>1330</v>
      </c>
      <c r="S42" s="31">
        <f>10*ROUNDUP((+S40*$E$5)/1000,0)</f>
        <v>1330</v>
      </c>
      <c r="T42" s="31">
        <f t="shared" si="49"/>
        <v>1330</v>
      </c>
      <c r="U42" s="31">
        <f t="shared" ref="U42" si="53">10*ROUNDUP((+U40*$E$5)/1000,0)</f>
        <v>1330</v>
      </c>
      <c r="V42" s="31">
        <f t="shared" si="49"/>
        <v>1330</v>
      </c>
      <c r="W42" s="31">
        <f t="shared" si="49"/>
        <v>1330</v>
      </c>
      <c r="X42" s="31">
        <f t="shared" si="49"/>
        <v>1330</v>
      </c>
    </row>
    <row r="43" spans="1:24" x14ac:dyDescent="0.2">
      <c r="A43" s="29" t="s">
        <v>22</v>
      </c>
      <c r="B43" s="30">
        <v>0</v>
      </c>
      <c r="C43" s="30">
        <f>C22*$B$4</f>
        <v>3600</v>
      </c>
      <c r="D43" s="30">
        <f t="shared" ref="D43:K43" si="54">D22*$B$4</f>
        <v>7200</v>
      </c>
      <c r="E43" s="30">
        <f>E22*$B$4*0.85</f>
        <v>6120</v>
      </c>
      <c r="F43" s="30">
        <f t="shared" si="54"/>
        <v>9000</v>
      </c>
      <c r="G43" s="30">
        <f t="shared" ref="G43:H43" si="55">G22*$B$4</f>
        <v>3600</v>
      </c>
      <c r="H43" s="30">
        <f t="shared" si="55"/>
        <v>3600</v>
      </c>
      <c r="I43" s="30">
        <f t="shared" si="54"/>
        <v>9000</v>
      </c>
      <c r="J43" s="30">
        <f t="shared" ref="J43" si="56">J22*$B$4</f>
        <v>9000</v>
      </c>
      <c r="K43" s="30">
        <f t="shared" si="54"/>
        <v>27000</v>
      </c>
      <c r="L43" s="30">
        <f>10 *ROUND(L31*L32/10,0)</f>
        <v>650</v>
      </c>
      <c r="M43" s="30">
        <f>10 *ROUND(M31*M32/10,0)</f>
        <v>1100</v>
      </c>
      <c r="N43" s="30">
        <v>0</v>
      </c>
      <c r="O43" s="30">
        <f t="shared" ref="O43:V43" si="57">O22*$B$4</f>
        <v>2700</v>
      </c>
      <c r="P43" s="30">
        <f t="shared" ref="P43" si="58">P22*$B$4</f>
        <v>5400</v>
      </c>
      <c r="Q43" s="30">
        <f t="shared" si="57"/>
        <v>9000</v>
      </c>
      <c r="R43" s="30">
        <f>R22*$B$4</f>
        <v>2700</v>
      </c>
      <c r="S43" s="30">
        <f>S22*$B$4</f>
        <v>2700</v>
      </c>
      <c r="T43" s="30">
        <f t="shared" si="57"/>
        <v>9000</v>
      </c>
      <c r="U43" s="30">
        <f t="shared" ref="U43" si="59">U22*$B$4</f>
        <v>9000</v>
      </c>
      <c r="V43" s="30">
        <f t="shared" si="57"/>
        <v>27000</v>
      </c>
      <c r="W43" s="30">
        <f t="shared" ref="W43:X43" si="60">10 *ROUND(W31*W32/10,0)</f>
        <v>650</v>
      </c>
      <c r="X43" s="30">
        <f t="shared" si="60"/>
        <v>1100</v>
      </c>
    </row>
    <row r="44" spans="1:24" x14ac:dyDescent="0.2">
      <c r="A44" s="29" t="s">
        <v>23</v>
      </c>
      <c r="B44" s="30">
        <v>0</v>
      </c>
      <c r="C44" s="30">
        <f>100*ROUND((C$92/100),0)</f>
        <v>1200</v>
      </c>
      <c r="D44" s="30">
        <f>IF(100*ROUND((D$92/100),0)&gt;0.95*D40,0.95*D40,100*ROUND((D$92/100),0))</f>
        <v>1400</v>
      </c>
      <c r="E44" s="30">
        <f>IF(100*ROUND((1.3*E$92/100),0)&gt;0.95*E40,0.95*E40,100*ROUND((1.3*E$92/100),0))</f>
        <v>1700</v>
      </c>
      <c r="F44" s="30">
        <v>0</v>
      </c>
      <c r="G44" s="30">
        <f>100*ROUND((G$92/100),0)</f>
        <v>2100</v>
      </c>
      <c r="H44" s="30">
        <f>100*ROUND((H$92/100),0)</f>
        <v>2300</v>
      </c>
      <c r="I44" s="30">
        <f>100*ROUND((I$92/100),0)</f>
        <v>2800</v>
      </c>
      <c r="J44" s="30">
        <f t="shared" ref="J44:K44" si="61">100*ROUND((J$92/100),0)</f>
        <v>3000</v>
      </c>
      <c r="K44" s="30">
        <f t="shared" si="61"/>
        <v>3600</v>
      </c>
      <c r="L44" s="30">
        <f>10*ROUND(0.08*L43,0)</f>
        <v>520</v>
      </c>
      <c r="M44" s="30">
        <f>10*ROUND(0.08*M43,0)</f>
        <v>880</v>
      </c>
      <c r="N44" s="30">
        <v>0</v>
      </c>
      <c r="O44" s="30">
        <f t="shared" ref="O44:V44" si="62">100*ROUND((O$92/100),0)</f>
        <v>900</v>
      </c>
      <c r="P44" s="30">
        <f t="shared" si="62"/>
        <v>1000</v>
      </c>
      <c r="Q44" s="30">
        <v>0</v>
      </c>
      <c r="R44" s="30">
        <f>100*ROUND((R$92/100),0)</f>
        <v>1600</v>
      </c>
      <c r="S44" s="30">
        <f>100*ROUND((S$92/100),0)</f>
        <v>1700</v>
      </c>
      <c r="T44" s="30">
        <f t="shared" si="62"/>
        <v>2300</v>
      </c>
      <c r="U44" s="30">
        <f t="shared" si="62"/>
        <v>2500</v>
      </c>
      <c r="V44" s="30">
        <f t="shared" si="62"/>
        <v>2800</v>
      </c>
      <c r="W44" s="30">
        <f t="shared" ref="W44:X44" si="63">10*ROUND(0.08*W43,0)</f>
        <v>520</v>
      </c>
      <c r="X44" s="30">
        <f t="shared" si="63"/>
        <v>880</v>
      </c>
    </row>
    <row r="45" spans="1:24" x14ac:dyDescent="0.2">
      <c r="A45" s="32" t="s">
        <v>59</v>
      </c>
      <c r="B45" s="88"/>
      <c r="C45" s="88"/>
      <c r="D45" s="88"/>
      <c r="E45" s="88"/>
      <c r="F45" s="88"/>
      <c r="G45" s="88">
        <f t="shared" ref="G45:V45" si="64">10*ROUND(G91/10,0)</f>
        <v>230</v>
      </c>
      <c r="H45" s="88">
        <f t="shared" si="64"/>
        <v>290</v>
      </c>
      <c r="I45" s="88">
        <f t="shared" si="64"/>
        <v>340</v>
      </c>
      <c r="J45" s="88">
        <f t="shared" si="64"/>
        <v>390</v>
      </c>
      <c r="K45" s="88">
        <f t="shared" si="64"/>
        <v>470</v>
      </c>
      <c r="L45" s="88"/>
      <c r="M45" s="88"/>
      <c r="N45" s="88"/>
      <c r="O45" s="88"/>
      <c r="P45" s="88"/>
      <c r="Q45" s="88"/>
      <c r="R45" s="88">
        <f t="shared" si="64"/>
        <v>170</v>
      </c>
      <c r="S45" s="88">
        <f t="shared" si="64"/>
        <v>220</v>
      </c>
      <c r="T45" s="88">
        <f t="shared" si="64"/>
        <v>280</v>
      </c>
      <c r="U45" s="88">
        <f t="shared" si="64"/>
        <v>320</v>
      </c>
      <c r="V45" s="88">
        <f t="shared" si="64"/>
        <v>370</v>
      </c>
      <c r="W45" s="88"/>
      <c r="X45" s="88"/>
    </row>
    <row r="46" spans="1:24" x14ac:dyDescent="0.2">
      <c r="A46" s="32" t="s">
        <v>24</v>
      </c>
      <c r="B46" s="33"/>
      <c r="C46" s="33">
        <f>10*ROUND(((C43-C44-C45)*C23/100+C44*$E$5/100)/10,0)</f>
        <v>730</v>
      </c>
      <c r="D46" s="33">
        <f>10*ROUND(((D43-D44-D45)*D23/100+D44*$E$5/100)/10,0)</f>
        <v>1090</v>
      </c>
      <c r="E46" s="33">
        <f>10*ROUND(((E43-E44-E45)*E23/100+E44*$E$5/100)/10,0)</f>
        <v>1110</v>
      </c>
      <c r="F46" s="33">
        <f t="shared" ref="F46:G46" si="65">10*ROUND(((F43-F44-F45)*F23/100+F44*$E$5/100)/10,0)</f>
        <v>1170</v>
      </c>
      <c r="G46" s="33">
        <f t="shared" si="65"/>
        <v>1030</v>
      </c>
      <c r="H46" s="33">
        <f t="shared" ref="H46:I46" si="66">10*ROUND(((H43-H44-H45)*H23/100+H44*$E$5/100)/10,0)</f>
        <v>1100</v>
      </c>
      <c r="I46" s="33">
        <f t="shared" si="66"/>
        <v>1710</v>
      </c>
      <c r="J46" s="33">
        <f t="shared" ref="J46:K46" si="67">10*ROUND(((J43-J44-J45)*J23/100+J44*$E$5/100)/10,0)</f>
        <v>1780</v>
      </c>
      <c r="K46" s="33">
        <f t="shared" si="67"/>
        <v>3300</v>
      </c>
      <c r="L46" s="33">
        <f>10*ROUND(((L43-L44-L45)*0/100+L44*$E$5/100)/10,0)</f>
        <v>230</v>
      </c>
      <c r="M46" s="33">
        <f>10*ROUND(((M43-M44-M45)*0/100+M44*$E$5/100)/10,0)</f>
        <v>390</v>
      </c>
      <c r="N46" s="33">
        <f>10*ROUND(((N43-N44)*$B$9/100+N44*$B$5/100)/10,0)</f>
        <v>0</v>
      </c>
      <c r="O46" s="33">
        <f t="shared" ref="O46" si="68">10*ROUND(((O43-O44-O45)*O23/100+O44*$E$5/100)/10,0)</f>
        <v>540</v>
      </c>
      <c r="P46" s="33">
        <f t="shared" ref="P46" si="69">10*ROUND(((P43-P44-P45)*P23/100+P44*$E$5/100)/10,0)</f>
        <v>800</v>
      </c>
      <c r="Q46" s="33">
        <f t="shared" ref="Q46" si="70">10*ROUND(((Q43-Q44-Q45)*Q23/100+Q44*$E$5/100)/10,0)</f>
        <v>1170</v>
      </c>
      <c r="R46" s="33">
        <f t="shared" ref="R46:S46" si="71">10*ROUND(((R43-R44-R45)*R23/100+R44*$E$5/100)/10,0)</f>
        <v>780</v>
      </c>
      <c r="S46" s="33">
        <f t="shared" si="71"/>
        <v>810</v>
      </c>
      <c r="T46" s="33">
        <f t="shared" ref="T46" si="72">10*ROUND(((T43-T44-T45)*T23/100+T44*$E$5/100)/10,0)</f>
        <v>1540</v>
      </c>
      <c r="U46" s="33">
        <f t="shared" ref="U46:V46" si="73">10*ROUND(((U43-U44-U45)*U23/100+U44*$E$5/100)/10,0)</f>
        <v>1610</v>
      </c>
      <c r="V46" s="33">
        <f t="shared" si="73"/>
        <v>3010</v>
      </c>
      <c r="W46" s="33">
        <f>10*ROUND(((W43-W44-W45)*0/100+W44*$E$5/100)/10,0)</f>
        <v>230</v>
      </c>
      <c r="X46" s="33">
        <f>10*ROUND(((X43-X44-X45)*0/100+X44*$E$5/100)/10,0)</f>
        <v>390</v>
      </c>
    </row>
    <row r="47" spans="1:24" x14ac:dyDescent="0.2">
      <c r="A47" s="32" t="s">
        <v>25</v>
      </c>
      <c r="B47" s="33">
        <f>10*ROUND(B38*B49/10,0)</f>
        <v>0</v>
      </c>
      <c r="C47" s="33">
        <f t="shared" ref="C47:K47" si="74">ROUNDDOWN((C22/2),0)*10+150</f>
        <v>170</v>
      </c>
      <c r="D47" s="33">
        <f t="shared" si="74"/>
        <v>190</v>
      </c>
      <c r="E47" s="33">
        <f t="shared" si="74"/>
        <v>190</v>
      </c>
      <c r="F47" s="33">
        <f t="shared" si="74"/>
        <v>200</v>
      </c>
      <c r="G47" s="33">
        <f t="shared" ref="G47:H47" si="75">ROUNDDOWN((G22/2),0)*10+150</f>
        <v>170</v>
      </c>
      <c r="H47" s="33">
        <f t="shared" si="75"/>
        <v>170</v>
      </c>
      <c r="I47" s="33">
        <f t="shared" si="74"/>
        <v>200</v>
      </c>
      <c r="J47" s="33">
        <f t="shared" ref="J47" si="76">ROUNDDOWN((J22/2),0)*10+150</f>
        <v>200</v>
      </c>
      <c r="K47" s="33">
        <f t="shared" si="74"/>
        <v>300</v>
      </c>
      <c r="L47" s="33">
        <v>120</v>
      </c>
      <c r="M47" s="33">
        <v>120</v>
      </c>
      <c r="N47" s="33">
        <f>10*ROUND(N38*N49/10,0)</f>
        <v>0</v>
      </c>
      <c r="O47" s="33">
        <f t="shared" ref="O47:V47" si="77">ROUNDDOWN((O22/2),0)*10+150</f>
        <v>160</v>
      </c>
      <c r="P47" s="33">
        <f t="shared" ref="P47" si="78">ROUNDDOWN((P22/2),0)*10+150</f>
        <v>180</v>
      </c>
      <c r="Q47" s="33">
        <f t="shared" si="77"/>
        <v>200</v>
      </c>
      <c r="R47" s="33">
        <f>ROUNDDOWN((R22/2),0)*10+150</f>
        <v>160</v>
      </c>
      <c r="S47" s="33">
        <f>ROUNDDOWN((S22/2),0)*10+150</f>
        <v>160</v>
      </c>
      <c r="T47" s="33">
        <f t="shared" si="77"/>
        <v>200</v>
      </c>
      <c r="U47" s="33">
        <f t="shared" ref="U47" si="79">ROUNDDOWN((U22/2),0)*10+150</f>
        <v>200</v>
      </c>
      <c r="V47" s="33">
        <f t="shared" si="77"/>
        <v>300</v>
      </c>
      <c r="W47" s="33">
        <v>120</v>
      </c>
      <c r="X47" s="33">
        <v>120</v>
      </c>
    </row>
    <row r="48" spans="1:24" x14ac:dyDescent="0.2">
      <c r="A48" s="32" t="s">
        <v>58</v>
      </c>
      <c r="B48" s="33"/>
      <c r="C48" s="33"/>
      <c r="D48" s="33"/>
      <c r="E48" s="33"/>
      <c r="F48" s="33"/>
      <c r="G48" s="33">
        <f>10*ROUND(G28/400,0)</f>
        <v>140</v>
      </c>
      <c r="H48" s="33">
        <f>10*ROUND(H28/400,0)</f>
        <v>220</v>
      </c>
      <c r="I48" s="33">
        <f>10*ROUND(I28/400,0)</f>
        <v>220</v>
      </c>
      <c r="J48" s="33">
        <f>10*ROUND(J28/400,0)</f>
        <v>400</v>
      </c>
      <c r="K48" s="33">
        <f>10*ROUND(K28/400,0)</f>
        <v>600</v>
      </c>
      <c r="L48" s="33"/>
      <c r="M48" s="33"/>
      <c r="N48" s="33">
        <f t="shared" ref="N48:V48" si="80">10*ROUND(N28/400,0)</f>
        <v>0</v>
      </c>
      <c r="O48" s="33">
        <f t="shared" si="80"/>
        <v>0</v>
      </c>
      <c r="P48" s="33">
        <f t="shared" ref="P48" si="81">10*ROUND(P28/400,0)</f>
        <v>0</v>
      </c>
      <c r="Q48" s="33">
        <f t="shared" si="80"/>
        <v>0</v>
      </c>
      <c r="R48" s="33">
        <f>10*ROUND(R28/400,0)</f>
        <v>110</v>
      </c>
      <c r="S48" s="33">
        <f>10*ROUND(S28/400,0)</f>
        <v>180</v>
      </c>
      <c r="T48" s="33">
        <f t="shared" si="80"/>
        <v>220</v>
      </c>
      <c r="U48" s="33">
        <f t="shared" ref="U48" si="82">10*ROUND(U28/400,0)</f>
        <v>400</v>
      </c>
      <c r="V48" s="33">
        <f t="shared" si="80"/>
        <v>600</v>
      </c>
      <c r="W48" s="33"/>
      <c r="X48" s="33"/>
    </row>
    <row r="49" spans="1:27" x14ac:dyDescent="0.2">
      <c r="A49" s="23" t="s">
        <v>60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7" x14ac:dyDescent="0.2">
      <c r="A50" s="71" t="s">
        <v>26</v>
      </c>
      <c r="B50" s="76">
        <f>B42+B47+B48+B49-B46</f>
        <v>1770</v>
      </c>
      <c r="C50" s="76">
        <f t="shared" ref="C50:M50" si="83">C42+C47+C48+C49-C46</f>
        <v>1210</v>
      </c>
      <c r="D50" s="76">
        <f t="shared" si="83"/>
        <v>870</v>
      </c>
      <c r="E50" s="76">
        <f t="shared" si="83"/>
        <v>850</v>
      </c>
      <c r="F50" s="76">
        <f t="shared" si="83"/>
        <v>800</v>
      </c>
      <c r="G50" s="76">
        <f t="shared" ref="G50:H50" si="84">G42+G47+G48+G49-G46</f>
        <v>1050</v>
      </c>
      <c r="H50" s="76">
        <f t="shared" si="84"/>
        <v>1060</v>
      </c>
      <c r="I50" s="76">
        <f t="shared" si="83"/>
        <v>480</v>
      </c>
      <c r="J50" s="76">
        <f t="shared" ref="J50" si="85">J42+J47+J48+J49-J46</f>
        <v>590</v>
      </c>
      <c r="K50" s="76">
        <f t="shared" si="83"/>
        <v>-630</v>
      </c>
      <c r="L50" s="76">
        <f t="shared" si="83"/>
        <v>1660</v>
      </c>
      <c r="M50" s="76">
        <f t="shared" si="83"/>
        <v>1500</v>
      </c>
      <c r="N50" s="76">
        <f>N42+N47+N48+N49-N46</f>
        <v>1330</v>
      </c>
      <c r="O50" s="76">
        <f t="shared" ref="O50" si="86">O42+O47+O48+O49-O46</f>
        <v>950</v>
      </c>
      <c r="P50" s="76">
        <f t="shared" ref="P50" si="87">P42+P47+P48+P49-P46</f>
        <v>710</v>
      </c>
      <c r="Q50" s="76">
        <f t="shared" ref="Q50" si="88">Q42+Q47+Q48+Q49-Q46</f>
        <v>360</v>
      </c>
      <c r="R50" s="76">
        <f t="shared" ref="R50:S50" si="89">R42+R47+R48+R49-R46</f>
        <v>820</v>
      </c>
      <c r="S50" s="76">
        <f t="shared" si="89"/>
        <v>860</v>
      </c>
      <c r="T50" s="76">
        <f t="shared" ref="T50:U50" si="90">T42+T47+T48+T49-T46</f>
        <v>210</v>
      </c>
      <c r="U50" s="76">
        <f t="shared" si="90"/>
        <v>320</v>
      </c>
      <c r="V50" s="76">
        <f t="shared" ref="V50:X50" si="91">V42+V47+V48+V49-V46</f>
        <v>-780</v>
      </c>
      <c r="W50" s="76">
        <f t="shared" si="91"/>
        <v>1220</v>
      </c>
      <c r="X50" s="76">
        <f t="shared" si="91"/>
        <v>1060</v>
      </c>
      <c r="AA50" s="79">
        <f>$B$50</f>
        <v>1770</v>
      </c>
    </row>
    <row r="51" spans="1:27" x14ac:dyDescent="0.2">
      <c r="A51" s="70" t="s">
        <v>2</v>
      </c>
      <c r="B51" s="72">
        <v>0</v>
      </c>
      <c r="C51" s="72">
        <f t="shared" ref="C51:X51" si="92">-C39-20*(C50-C42)</f>
        <v>3200</v>
      </c>
      <c r="D51" s="72">
        <f t="shared" si="92"/>
        <v>4700</v>
      </c>
      <c r="E51" s="72">
        <f t="shared" si="92"/>
        <v>5100</v>
      </c>
      <c r="F51" s="72">
        <f t="shared" si="92"/>
        <v>4400</v>
      </c>
      <c r="G51" s="72">
        <f t="shared" ref="G51:H51" si="93">-G39-20*(G50-G42)</f>
        <v>800</v>
      </c>
      <c r="H51" s="72">
        <f t="shared" si="93"/>
        <v>-2600</v>
      </c>
      <c r="I51" s="72">
        <f t="shared" si="92"/>
        <v>2000</v>
      </c>
      <c r="J51" s="72">
        <f t="shared" ref="J51" si="94">-J39-20*(J50-J42)</f>
        <v>-7400</v>
      </c>
      <c r="K51" s="72">
        <f t="shared" si="92"/>
        <v>-6000</v>
      </c>
      <c r="L51" s="72">
        <f t="shared" si="92"/>
        <v>-7800</v>
      </c>
      <c r="M51" s="72">
        <f t="shared" si="92"/>
        <v>400</v>
      </c>
      <c r="N51" s="72">
        <f t="shared" si="92"/>
        <v>0</v>
      </c>
      <c r="O51" s="72">
        <f t="shared" si="92"/>
        <v>1300</v>
      </c>
      <c r="P51" s="72">
        <f t="shared" ref="P51" si="95">-P39-20*(P50-P42)</f>
        <v>1400</v>
      </c>
      <c r="Q51" s="72">
        <f t="shared" si="92"/>
        <v>4400</v>
      </c>
      <c r="R51" s="72">
        <f>-R39-20*(R50-R42)</f>
        <v>-600</v>
      </c>
      <c r="S51" s="72">
        <f>-S39-20*(S50-S42)</f>
        <v>-4100</v>
      </c>
      <c r="T51" s="72">
        <f t="shared" si="92"/>
        <v>-1400</v>
      </c>
      <c r="U51" s="72">
        <f t="shared" ref="U51" si="96">-U39-20*(U50-U42)</f>
        <v>-10800</v>
      </c>
      <c r="V51" s="72">
        <f t="shared" si="92"/>
        <v>-11800</v>
      </c>
      <c r="W51" s="72">
        <f t="shared" si="92"/>
        <v>-7800</v>
      </c>
      <c r="X51" s="72">
        <f t="shared" si="92"/>
        <v>400</v>
      </c>
    </row>
    <row r="52" spans="1:27" x14ac:dyDescent="0.2">
      <c r="A52" s="70" t="s">
        <v>11</v>
      </c>
      <c r="B52" s="73"/>
      <c r="C52" s="59">
        <f>IF(((C42-C50)=0),IF((C39&lt;0),"sofort","nie"),IF((C39/(C42-C50)&lt;0),IF((C39&lt;0),"sofort","nie"),C39/(C42-C50)))</f>
        <v>14.285714285714286</v>
      </c>
      <c r="D52" s="59">
        <f t="shared" ref="D52:X52" si="97">IF(((D42-D50)=0),IF((D39&lt;0),"sofort","nie"),IF((D39/(D42-D50)&lt;0),IF((D39&lt;0),"sofort","nie"),D39/(D42-D50)))</f>
        <v>14.777777777777779</v>
      </c>
      <c r="E52" s="59">
        <f t="shared" si="97"/>
        <v>14.456521739130435</v>
      </c>
      <c r="F52" s="59">
        <f t="shared" si="97"/>
        <v>15.463917525773196</v>
      </c>
      <c r="G52" s="59">
        <f t="shared" si="97"/>
        <v>18.888888888888889</v>
      </c>
      <c r="H52" s="59">
        <f t="shared" si="97"/>
        <v>23.661971830985916</v>
      </c>
      <c r="I52" s="59">
        <f t="shared" si="97"/>
        <v>18.449612403100776</v>
      </c>
      <c r="J52" s="59">
        <f t="shared" si="97"/>
        <v>26.271186440677965</v>
      </c>
      <c r="K52" s="59">
        <f t="shared" si="97"/>
        <v>22.5</v>
      </c>
      <c r="L52" s="59">
        <f t="shared" si="97"/>
        <v>90.909090909090907</v>
      </c>
      <c r="M52" s="59">
        <f t="shared" si="97"/>
        <v>18.518518518518519</v>
      </c>
      <c r="N52" s="59"/>
      <c r="O52" s="59">
        <f t="shared" si="97"/>
        <v>16.578947368421051</v>
      </c>
      <c r="P52" s="59">
        <f t="shared" si="97"/>
        <v>17.741935483870968</v>
      </c>
      <c r="Q52" s="59">
        <f t="shared" si="97"/>
        <v>15.463917525773196</v>
      </c>
      <c r="R52" s="59">
        <f t="shared" si="97"/>
        <v>21.176470588235293</v>
      </c>
      <c r="S52" s="59">
        <f t="shared" si="97"/>
        <v>28.723404255319149</v>
      </c>
      <c r="T52" s="59">
        <f t="shared" si="97"/>
        <v>21.25</v>
      </c>
      <c r="U52" s="59">
        <f t="shared" si="97"/>
        <v>30.693069306930692</v>
      </c>
      <c r="V52" s="59">
        <f t="shared" si="97"/>
        <v>25.592417061611375</v>
      </c>
      <c r="W52" s="59">
        <f t="shared" si="97"/>
        <v>90.909090909090907</v>
      </c>
      <c r="X52" s="59">
        <f t="shared" si="97"/>
        <v>18.518518518518519</v>
      </c>
    </row>
    <row r="53" spans="1:27" x14ac:dyDescent="0.2">
      <c r="A53" s="70" t="s">
        <v>12</v>
      </c>
      <c r="B53" s="74">
        <f t="shared" ref="B53:X53" si="98">ROUND(((B40-B43+B45)*$H$5)/1000,1)</f>
        <v>2.2000000000000002</v>
      </c>
      <c r="C53" s="74">
        <f t="shared" si="98"/>
        <v>0.2</v>
      </c>
      <c r="D53" s="74">
        <f t="shared" si="98"/>
        <v>-1.8</v>
      </c>
      <c r="E53" s="74">
        <f t="shared" si="98"/>
        <v>-1.2</v>
      </c>
      <c r="F53" s="74">
        <f t="shared" si="98"/>
        <v>-2.8</v>
      </c>
      <c r="G53" s="74">
        <f t="shared" si="98"/>
        <v>0.4</v>
      </c>
      <c r="H53" s="74">
        <f t="shared" si="98"/>
        <v>0.4</v>
      </c>
      <c r="I53" s="74">
        <f t="shared" si="98"/>
        <v>-2.6</v>
      </c>
      <c r="J53" s="74">
        <f t="shared" si="98"/>
        <v>-2.6</v>
      </c>
      <c r="K53" s="74">
        <f t="shared" si="98"/>
        <v>-12.6</v>
      </c>
      <c r="L53" s="74">
        <f t="shared" si="98"/>
        <v>1.9</v>
      </c>
      <c r="M53" s="74">
        <f t="shared" si="98"/>
        <v>1.6</v>
      </c>
      <c r="N53" s="74">
        <f t="shared" si="98"/>
        <v>1.7</v>
      </c>
      <c r="O53" s="74">
        <f t="shared" si="98"/>
        <v>0.2</v>
      </c>
      <c r="P53" s="74">
        <f t="shared" si="98"/>
        <v>-1.3</v>
      </c>
      <c r="Q53" s="74">
        <f t="shared" si="98"/>
        <v>-3.4</v>
      </c>
      <c r="R53" s="74">
        <f t="shared" si="98"/>
        <v>0.3</v>
      </c>
      <c r="S53" s="74">
        <f t="shared" si="98"/>
        <v>0.3</v>
      </c>
      <c r="T53" s="74">
        <f t="shared" si="98"/>
        <v>-3.2</v>
      </c>
      <c r="U53" s="74">
        <f t="shared" si="98"/>
        <v>-3.2</v>
      </c>
      <c r="V53" s="74">
        <f t="shared" si="98"/>
        <v>-13.2</v>
      </c>
      <c r="W53" s="74">
        <f t="shared" si="98"/>
        <v>1.3</v>
      </c>
      <c r="X53" s="74">
        <f t="shared" si="98"/>
        <v>1.1000000000000001</v>
      </c>
    </row>
    <row r="54" spans="1:27" x14ac:dyDescent="0.2">
      <c r="A54" s="70" t="s">
        <v>3</v>
      </c>
      <c r="B54" s="38">
        <f t="shared" ref="B54:X54" si="99">B44/B40</f>
        <v>0</v>
      </c>
      <c r="C54" s="38">
        <f t="shared" si="99"/>
        <v>0.3</v>
      </c>
      <c r="D54" s="38">
        <f t="shared" si="99"/>
        <v>0.35</v>
      </c>
      <c r="E54" s="38">
        <f t="shared" si="99"/>
        <v>0.42499999999999999</v>
      </c>
      <c r="F54" s="38">
        <f t="shared" si="99"/>
        <v>0</v>
      </c>
      <c r="G54" s="38">
        <f t="shared" ref="G54:H54" si="100">G44/G40</f>
        <v>0.52500000000000002</v>
      </c>
      <c r="H54" s="38">
        <f t="shared" si="100"/>
        <v>0.57499999999999996</v>
      </c>
      <c r="I54" s="38">
        <f t="shared" si="99"/>
        <v>0.7</v>
      </c>
      <c r="J54" s="38">
        <f t="shared" ref="J54" si="101">J44/J40</f>
        <v>0.75</v>
      </c>
      <c r="K54" s="38">
        <f t="shared" si="99"/>
        <v>0.9</v>
      </c>
      <c r="L54" s="38">
        <f t="shared" ref="L54:M54" si="102">L44/L40</f>
        <v>0.13</v>
      </c>
      <c r="M54" s="38">
        <f t="shared" si="102"/>
        <v>0.22</v>
      </c>
      <c r="N54" s="38">
        <f t="shared" si="99"/>
        <v>0</v>
      </c>
      <c r="O54" s="38">
        <f t="shared" si="99"/>
        <v>0.3</v>
      </c>
      <c r="P54" s="38">
        <f t="shared" ref="P54" si="103">P44/P40</f>
        <v>0.33333333333333331</v>
      </c>
      <c r="Q54" s="38">
        <f t="shared" si="99"/>
        <v>0</v>
      </c>
      <c r="R54" s="38">
        <f>R44/R40</f>
        <v>0.53333333333333333</v>
      </c>
      <c r="S54" s="38">
        <f>S44/S40</f>
        <v>0.56666666666666665</v>
      </c>
      <c r="T54" s="38">
        <f t="shared" si="99"/>
        <v>0.76666666666666672</v>
      </c>
      <c r="U54" s="38">
        <f t="shared" ref="U54" si="104">U44/U40</f>
        <v>0.83333333333333337</v>
      </c>
      <c r="V54" s="38">
        <f t="shared" si="99"/>
        <v>0.93333333333333335</v>
      </c>
      <c r="W54" s="38">
        <f t="shared" si="99"/>
        <v>0.17333333333333334</v>
      </c>
      <c r="X54" s="38">
        <f t="shared" si="99"/>
        <v>0.29333333333333333</v>
      </c>
    </row>
    <row r="55" spans="1:27" x14ac:dyDescent="0.2">
      <c r="N55" s="3"/>
    </row>
    <row r="56" spans="1:27" x14ac:dyDescent="0.2">
      <c r="B56" s="52"/>
      <c r="C56" s="43" t="s">
        <v>70</v>
      </c>
      <c r="D56" s="43"/>
      <c r="E56" s="44"/>
      <c r="F56" s="53"/>
      <c r="G56" s="54" t="s">
        <v>32</v>
      </c>
      <c r="H56" s="54" t="s">
        <v>32</v>
      </c>
      <c r="I56" s="54"/>
      <c r="J56" s="45"/>
    </row>
    <row r="57" spans="1:27" x14ac:dyDescent="0.2">
      <c r="B57" s="75"/>
      <c r="C57" s="34" t="s">
        <v>71</v>
      </c>
      <c r="D57" s="34"/>
      <c r="F57" s="36"/>
      <c r="G57" t="s">
        <v>27</v>
      </c>
      <c r="J57" s="47"/>
    </row>
    <row r="58" spans="1:27" x14ac:dyDescent="0.2">
      <c r="B58" s="55"/>
      <c r="C58" s="34" t="s">
        <v>72</v>
      </c>
      <c r="D58" s="34"/>
      <c r="F58" s="37"/>
      <c r="G58" t="s">
        <v>28</v>
      </c>
      <c r="J58" s="47"/>
    </row>
    <row r="59" spans="1:27" x14ac:dyDescent="0.2">
      <c r="B59" s="56"/>
      <c r="C59" s="50" t="s">
        <v>29</v>
      </c>
      <c r="D59" s="50"/>
      <c r="E59" s="50"/>
      <c r="F59" s="50"/>
      <c r="G59" s="50"/>
      <c r="H59" s="50"/>
      <c r="I59" s="50"/>
      <c r="J59" s="51"/>
    </row>
    <row r="61" spans="1:27" x14ac:dyDescent="0.2">
      <c r="B61" s="69"/>
      <c r="C61" s="43" t="s">
        <v>35</v>
      </c>
      <c r="D61" s="43"/>
      <c r="E61" s="44"/>
      <c r="F61" s="45"/>
      <c r="L61" s="103"/>
      <c r="M61" s="103"/>
      <c r="N61" s="102"/>
      <c r="O61" s="102"/>
      <c r="P61" s="102"/>
      <c r="Q61" s="102"/>
      <c r="R61" s="102"/>
      <c r="S61" s="102"/>
      <c r="T61" s="102"/>
    </row>
    <row r="62" spans="1:27" x14ac:dyDescent="0.2">
      <c r="B62" s="46" t="s">
        <v>30</v>
      </c>
      <c r="C62" s="34" t="s">
        <v>33</v>
      </c>
      <c r="D62" s="34"/>
      <c r="F62" s="47"/>
      <c r="J62" s="101"/>
      <c r="K62" s="101"/>
      <c r="L62" s="101"/>
      <c r="M62" s="101"/>
      <c r="N62" s="102"/>
      <c r="O62" s="102"/>
      <c r="P62" s="102"/>
      <c r="Q62" s="102"/>
      <c r="R62" s="102"/>
      <c r="S62" s="102"/>
      <c r="T62" s="102"/>
    </row>
    <row r="63" spans="1:27" x14ac:dyDescent="0.2">
      <c r="B63" s="48" t="s">
        <v>31</v>
      </c>
      <c r="C63" s="49" t="s">
        <v>34</v>
      </c>
      <c r="D63" s="49"/>
      <c r="E63" s="50"/>
      <c r="F63" s="51"/>
      <c r="J63" s="101"/>
      <c r="K63" s="101"/>
      <c r="L63" s="101"/>
      <c r="M63" s="101"/>
      <c r="N63" s="102"/>
      <c r="O63" s="102"/>
      <c r="P63" s="102"/>
      <c r="Q63" s="102"/>
      <c r="R63" s="102"/>
      <c r="S63" s="102"/>
      <c r="T63" s="102"/>
    </row>
    <row r="64" spans="1:27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24" s="34" customFormat="1" x14ac:dyDescent="0.2"/>
    <row r="66" spans="1:24" s="146" customFormat="1" x14ac:dyDescent="0.2"/>
    <row r="67" spans="1:24" s="146" customFormat="1" x14ac:dyDescent="0.2">
      <c r="A67" s="108" t="s">
        <v>75</v>
      </c>
      <c r="B67" s="142">
        <f>B$22</f>
        <v>0</v>
      </c>
      <c r="C67" s="142">
        <f t="shared" ref="C67:X67" si="105">C$22</f>
        <v>4</v>
      </c>
      <c r="D67" s="142">
        <f t="shared" si="105"/>
        <v>8</v>
      </c>
      <c r="E67" s="142">
        <f t="shared" si="105"/>
        <v>8</v>
      </c>
      <c r="F67" s="142">
        <f t="shared" si="105"/>
        <v>10</v>
      </c>
      <c r="G67" s="142">
        <f>G$22</f>
        <v>4</v>
      </c>
      <c r="H67" s="142">
        <f>H$22</f>
        <v>4</v>
      </c>
      <c r="I67" s="142">
        <f>I$22</f>
        <v>10</v>
      </c>
      <c r="J67" s="142">
        <f t="shared" si="105"/>
        <v>10</v>
      </c>
      <c r="K67" s="142">
        <f t="shared" si="105"/>
        <v>30</v>
      </c>
      <c r="L67" s="142">
        <f t="shared" si="105"/>
        <v>0</v>
      </c>
      <c r="M67" s="142">
        <f t="shared" si="105"/>
        <v>0</v>
      </c>
      <c r="N67" s="142">
        <f t="shared" si="105"/>
        <v>0</v>
      </c>
      <c r="O67" s="142">
        <f t="shared" si="105"/>
        <v>3</v>
      </c>
      <c r="P67" s="142">
        <f t="shared" si="105"/>
        <v>6</v>
      </c>
      <c r="Q67" s="142">
        <f t="shared" si="105"/>
        <v>10</v>
      </c>
      <c r="R67" s="142">
        <f>R$22</f>
        <v>3</v>
      </c>
      <c r="S67" s="142">
        <f>S$22</f>
        <v>3</v>
      </c>
      <c r="T67" s="142">
        <f t="shared" si="105"/>
        <v>10</v>
      </c>
      <c r="U67" s="142">
        <f t="shared" si="105"/>
        <v>10</v>
      </c>
      <c r="V67" s="142">
        <f t="shared" si="105"/>
        <v>30</v>
      </c>
      <c r="W67" s="142">
        <f t="shared" si="105"/>
        <v>0</v>
      </c>
      <c r="X67" s="142">
        <f t="shared" si="105"/>
        <v>0</v>
      </c>
    </row>
    <row r="68" spans="1:24" s="146" customFormat="1" x14ac:dyDescent="0.2">
      <c r="A68" s="108" t="s">
        <v>76</v>
      </c>
      <c r="B68" s="108">
        <v>900</v>
      </c>
      <c r="C68" s="143">
        <f>$B$4</f>
        <v>900</v>
      </c>
      <c r="D68" s="143">
        <f t="shared" ref="D68:E68" si="106">$B$4</f>
        <v>900</v>
      </c>
      <c r="E68" s="143">
        <f t="shared" si="106"/>
        <v>900</v>
      </c>
      <c r="F68" s="143">
        <f t="shared" ref="F68:X68" si="107">$B$4</f>
        <v>900</v>
      </c>
      <c r="G68" s="143">
        <f t="shared" si="107"/>
        <v>900</v>
      </c>
      <c r="H68" s="143">
        <f t="shared" si="107"/>
        <v>900</v>
      </c>
      <c r="I68" s="143">
        <f t="shared" si="107"/>
        <v>900</v>
      </c>
      <c r="J68" s="143">
        <f t="shared" si="107"/>
        <v>900</v>
      </c>
      <c r="K68" s="143">
        <f t="shared" si="107"/>
        <v>900</v>
      </c>
      <c r="L68" s="143">
        <f t="shared" si="107"/>
        <v>900</v>
      </c>
      <c r="M68" s="143">
        <f t="shared" si="107"/>
        <v>900</v>
      </c>
      <c r="N68" s="143">
        <f t="shared" si="107"/>
        <v>900</v>
      </c>
      <c r="O68" s="143">
        <f t="shared" si="107"/>
        <v>900</v>
      </c>
      <c r="P68" s="143">
        <f t="shared" si="107"/>
        <v>900</v>
      </c>
      <c r="Q68" s="143">
        <f t="shared" si="107"/>
        <v>900</v>
      </c>
      <c r="R68" s="143">
        <f t="shared" si="107"/>
        <v>900</v>
      </c>
      <c r="S68" s="143">
        <f t="shared" si="107"/>
        <v>900</v>
      </c>
      <c r="T68" s="143">
        <f t="shared" si="107"/>
        <v>900</v>
      </c>
      <c r="U68" s="143">
        <f t="shared" si="107"/>
        <v>900</v>
      </c>
      <c r="V68" s="143">
        <f t="shared" si="107"/>
        <v>900</v>
      </c>
      <c r="W68" s="143">
        <f t="shared" si="107"/>
        <v>900</v>
      </c>
      <c r="X68" s="143">
        <f t="shared" si="107"/>
        <v>900</v>
      </c>
    </row>
    <row r="69" spans="1:24" s="146" customFormat="1" x14ac:dyDescent="0.2">
      <c r="A69" s="108" t="s">
        <v>77</v>
      </c>
      <c r="B69" s="108">
        <f>B$67*B$68</f>
        <v>0</v>
      </c>
      <c r="C69" s="108">
        <f t="shared" ref="C69:X69" si="108">C$67*C$68</f>
        <v>3600</v>
      </c>
      <c r="D69" s="108">
        <f t="shared" si="108"/>
        <v>7200</v>
      </c>
      <c r="E69" s="108">
        <f>E$67*E$68*0.85</f>
        <v>6120</v>
      </c>
      <c r="F69" s="108">
        <f t="shared" si="108"/>
        <v>9000</v>
      </c>
      <c r="G69" s="108">
        <f>G$67*G$68</f>
        <v>3600</v>
      </c>
      <c r="H69" s="108">
        <f>H$67*H$68</f>
        <v>3600</v>
      </c>
      <c r="I69" s="108">
        <f>I$67*I$68</f>
        <v>9000</v>
      </c>
      <c r="J69" s="108">
        <f t="shared" si="108"/>
        <v>9000</v>
      </c>
      <c r="K69" s="108">
        <f t="shared" si="108"/>
        <v>27000</v>
      </c>
      <c r="L69" s="108">
        <f t="shared" si="108"/>
        <v>0</v>
      </c>
      <c r="M69" s="108">
        <f t="shared" si="108"/>
        <v>0</v>
      </c>
      <c r="N69" s="108">
        <f t="shared" si="108"/>
        <v>0</v>
      </c>
      <c r="O69" s="108">
        <f t="shared" si="108"/>
        <v>2700</v>
      </c>
      <c r="P69" s="108">
        <f t="shared" si="108"/>
        <v>5400</v>
      </c>
      <c r="Q69" s="108">
        <f t="shared" si="108"/>
        <v>9000</v>
      </c>
      <c r="R69" s="108">
        <f>R$67*R$68</f>
        <v>2700</v>
      </c>
      <c r="S69" s="108">
        <f>S$67*S$68</f>
        <v>2700</v>
      </c>
      <c r="T69" s="108">
        <f t="shared" si="108"/>
        <v>9000</v>
      </c>
      <c r="U69" s="108">
        <f t="shared" si="108"/>
        <v>9000</v>
      </c>
      <c r="V69" s="108">
        <f t="shared" si="108"/>
        <v>27000</v>
      </c>
      <c r="W69" s="108">
        <f t="shared" si="108"/>
        <v>0</v>
      </c>
      <c r="X69" s="108">
        <f t="shared" si="108"/>
        <v>0</v>
      </c>
    </row>
    <row r="70" spans="1:24" s="146" customFormat="1" x14ac:dyDescent="0.2">
      <c r="A70" s="108" t="s">
        <v>78</v>
      </c>
      <c r="B70" s="108">
        <v>6</v>
      </c>
      <c r="C70" s="144">
        <f>C$24</f>
        <v>0</v>
      </c>
      <c r="D70" s="144">
        <f t="shared" ref="D70:E70" si="109">D$24</f>
        <v>0</v>
      </c>
      <c r="E70" s="144">
        <f t="shared" si="109"/>
        <v>0</v>
      </c>
      <c r="F70" s="144">
        <f t="shared" ref="F70:X70" si="110">F$24</f>
        <v>0</v>
      </c>
      <c r="G70" s="144">
        <f>G$24</f>
        <v>4</v>
      </c>
      <c r="H70" s="144">
        <f>H$24</f>
        <v>8</v>
      </c>
      <c r="I70" s="144">
        <f>I$24</f>
        <v>8</v>
      </c>
      <c r="J70" s="144">
        <f t="shared" si="110"/>
        <v>16</v>
      </c>
      <c r="K70" s="144">
        <f t="shared" si="110"/>
        <v>30</v>
      </c>
      <c r="L70" s="144">
        <f t="shared" si="110"/>
        <v>0</v>
      </c>
      <c r="M70" s="144">
        <f t="shared" si="110"/>
        <v>0</v>
      </c>
      <c r="N70" s="144">
        <f t="shared" si="110"/>
        <v>0</v>
      </c>
      <c r="O70" s="144">
        <f t="shared" si="110"/>
        <v>0</v>
      </c>
      <c r="P70" s="144">
        <f t="shared" si="110"/>
        <v>0</v>
      </c>
      <c r="Q70" s="144">
        <f t="shared" si="110"/>
        <v>0</v>
      </c>
      <c r="R70" s="144">
        <f>R$24</f>
        <v>3</v>
      </c>
      <c r="S70" s="144">
        <f>S$24</f>
        <v>6</v>
      </c>
      <c r="T70" s="144">
        <f t="shared" si="110"/>
        <v>8</v>
      </c>
      <c r="U70" s="144">
        <f t="shared" si="110"/>
        <v>16</v>
      </c>
      <c r="V70" s="144">
        <f t="shared" si="110"/>
        <v>30</v>
      </c>
      <c r="W70" s="144">
        <f t="shared" si="110"/>
        <v>0</v>
      </c>
      <c r="X70" s="144">
        <f t="shared" si="110"/>
        <v>0</v>
      </c>
    </row>
    <row r="71" spans="1:24" s="146" customFormat="1" x14ac:dyDescent="0.2">
      <c r="A71" s="108" t="s">
        <v>79</v>
      </c>
      <c r="B71" s="108">
        <v>4000</v>
      </c>
      <c r="C71" s="145">
        <f>C$40</f>
        <v>4000</v>
      </c>
      <c r="D71" s="145">
        <f t="shared" ref="D71:E71" si="111">D$40</f>
        <v>4000</v>
      </c>
      <c r="E71" s="145">
        <f t="shared" si="111"/>
        <v>4000</v>
      </c>
      <c r="F71" s="145">
        <f t="shared" ref="F71:X71" si="112">F$40</f>
        <v>4000</v>
      </c>
      <c r="G71" s="145">
        <f>G$40</f>
        <v>4000</v>
      </c>
      <c r="H71" s="145">
        <f>H$40</f>
        <v>4000</v>
      </c>
      <c r="I71" s="145">
        <f>I$40</f>
        <v>4000</v>
      </c>
      <c r="J71" s="145">
        <f t="shared" si="112"/>
        <v>4000</v>
      </c>
      <c r="K71" s="145">
        <f t="shared" si="112"/>
        <v>4000</v>
      </c>
      <c r="L71" s="145">
        <f t="shared" si="112"/>
        <v>4000</v>
      </c>
      <c r="M71" s="145">
        <f t="shared" si="112"/>
        <v>4000</v>
      </c>
      <c r="N71" s="145">
        <f t="shared" si="112"/>
        <v>3000</v>
      </c>
      <c r="O71" s="145">
        <f t="shared" si="112"/>
        <v>3000</v>
      </c>
      <c r="P71" s="145">
        <f t="shared" si="112"/>
        <v>3000</v>
      </c>
      <c r="Q71" s="145">
        <f t="shared" si="112"/>
        <v>3000</v>
      </c>
      <c r="R71" s="145">
        <f>R$40</f>
        <v>3000</v>
      </c>
      <c r="S71" s="145">
        <f>S$40</f>
        <v>3000</v>
      </c>
      <c r="T71" s="145">
        <f t="shared" si="112"/>
        <v>3000</v>
      </c>
      <c r="U71" s="145">
        <f t="shared" si="112"/>
        <v>3000</v>
      </c>
      <c r="V71" s="145">
        <f t="shared" si="112"/>
        <v>3000</v>
      </c>
      <c r="W71" s="145">
        <f t="shared" si="112"/>
        <v>3000</v>
      </c>
      <c r="X71" s="145">
        <f t="shared" si="112"/>
        <v>3000</v>
      </c>
    </row>
    <row r="72" spans="1:24" s="146" customFormat="1" x14ac:dyDescent="0.2">
      <c r="A72" s="108" t="s">
        <v>80</v>
      </c>
      <c r="B72" s="108">
        <v>0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8">
        <v>0</v>
      </c>
      <c r="W72" s="108">
        <v>0</v>
      </c>
      <c r="X72" s="108">
        <v>0</v>
      </c>
    </row>
    <row r="73" spans="1:24" s="146" customFormat="1" x14ac:dyDescent="0.2">
      <c r="A73" s="108" t="s">
        <v>81</v>
      </c>
      <c r="B73" s="108">
        <v>0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8">
        <v>0</v>
      </c>
      <c r="W73" s="108">
        <v>0</v>
      </c>
      <c r="X73" s="108">
        <v>0</v>
      </c>
    </row>
    <row r="74" spans="1:24" s="146" customFormat="1" x14ac:dyDescent="0.2">
      <c r="A74" s="108" t="s">
        <v>82</v>
      </c>
      <c r="B74" s="108">
        <v>10000</v>
      </c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08">
        <v>0</v>
      </c>
      <c r="L74" s="108">
        <v>0</v>
      </c>
      <c r="M74" s="108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08">
        <v>0</v>
      </c>
      <c r="W74" s="108">
        <v>0</v>
      </c>
      <c r="X74" s="108">
        <v>0</v>
      </c>
    </row>
    <row r="75" spans="1:24" s="146" customFormat="1" x14ac:dyDescent="0.2">
      <c r="A75" s="108" t="s">
        <v>83</v>
      </c>
      <c r="B75" s="108">
        <v>0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8">
        <v>0</v>
      </c>
      <c r="W75" s="108">
        <v>0</v>
      </c>
      <c r="X75" s="108">
        <v>0</v>
      </c>
    </row>
    <row r="76" spans="1:24" s="146" customFormat="1" x14ac:dyDescent="0.2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</row>
    <row r="77" spans="1:24" s="146" customFormat="1" x14ac:dyDescent="0.2">
      <c r="A77" s="108" t="s">
        <v>84</v>
      </c>
      <c r="B77" s="108">
        <f>B$69*MIN(0.6,1/(1+6*B$69/(B$74+B$75+0.0001)))</f>
        <v>0</v>
      </c>
      <c r="C77" s="108">
        <f t="shared" ref="C77:X77" si="113">C$69*MIN(0.6,1/(1+6*C$69/(C$74+C$75+0.0001)))</f>
        <v>1.6666666589506171E-5</v>
      </c>
      <c r="D77" s="108">
        <f t="shared" si="113"/>
        <v>1.6666666628086421E-5</v>
      </c>
      <c r="E77" s="108">
        <f t="shared" si="113"/>
        <v>1.6666666621278143E-5</v>
      </c>
      <c r="F77" s="108">
        <f t="shared" si="113"/>
        <v>1.6666666635802471E-5</v>
      </c>
      <c r="G77" s="108">
        <f>G$69*MIN(0.6,1/(1+6*G$69/(G$74+G$75+0.0001)))</f>
        <v>1.6666666589506171E-5</v>
      </c>
      <c r="H77" s="108">
        <f>H$69*MIN(0.6,1/(1+6*H$69/(H$74+H$75+0.0001)))</f>
        <v>1.6666666589506171E-5</v>
      </c>
      <c r="I77" s="108">
        <f>I$69*MIN(0.6,1/(1+6*I$69/(I$74+I$75+0.0001)))</f>
        <v>1.6666666635802471E-5</v>
      </c>
      <c r="J77" s="108">
        <f t="shared" si="113"/>
        <v>1.6666666635802471E-5</v>
      </c>
      <c r="K77" s="108">
        <f t="shared" si="113"/>
        <v>1.6666666656378602E-5</v>
      </c>
      <c r="L77" s="108">
        <f t="shared" si="113"/>
        <v>0</v>
      </c>
      <c r="M77" s="108">
        <f t="shared" si="113"/>
        <v>0</v>
      </c>
      <c r="N77" s="108">
        <f t="shared" si="113"/>
        <v>0</v>
      </c>
      <c r="O77" s="108">
        <f t="shared" si="113"/>
        <v>1.6666666563786008E-5</v>
      </c>
      <c r="P77" s="108">
        <f t="shared" si="113"/>
        <v>1.6666666615226336E-5</v>
      </c>
      <c r="Q77" s="108">
        <f t="shared" si="113"/>
        <v>1.6666666635802471E-5</v>
      </c>
      <c r="R77" s="108">
        <f>R$69*MIN(0.6,1/(1+6*R$69/(R$74+R$75+0.0001)))</f>
        <v>1.6666666563786008E-5</v>
      </c>
      <c r="S77" s="108">
        <f>S$69*MIN(0.6,1/(1+6*S$69/(S$74+S$75+0.0001)))</f>
        <v>1.6666666563786008E-5</v>
      </c>
      <c r="T77" s="108">
        <f t="shared" si="113"/>
        <v>1.6666666635802471E-5</v>
      </c>
      <c r="U77" s="108">
        <f t="shared" si="113"/>
        <v>1.6666666635802471E-5</v>
      </c>
      <c r="V77" s="108">
        <f t="shared" si="113"/>
        <v>1.6666666656378602E-5</v>
      </c>
      <c r="W77" s="108">
        <f t="shared" si="113"/>
        <v>0</v>
      </c>
      <c r="X77" s="108">
        <f t="shared" si="113"/>
        <v>0</v>
      </c>
    </row>
    <row r="78" spans="1:24" s="146" customFormat="1" x14ac:dyDescent="0.2">
      <c r="A78" s="108" t="s">
        <v>85</v>
      </c>
      <c r="B78" s="108">
        <f>B$67*B$68/1025</f>
        <v>0</v>
      </c>
      <c r="C78" s="108">
        <f t="shared" ref="C78:X78" si="114">C$67*C$68/1025</f>
        <v>3.5121951219512195</v>
      </c>
      <c r="D78" s="108">
        <f t="shared" si="114"/>
        <v>7.024390243902439</v>
      </c>
      <c r="E78" s="108">
        <f t="shared" si="114"/>
        <v>7.024390243902439</v>
      </c>
      <c r="F78" s="108">
        <f t="shared" si="114"/>
        <v>8.7804878048780495</v>
      </c>
      <c r="G78" s="108">
        <f>G$67*G$68/1025</f>
        <v>3.5121951219512195</v>
      </c>
      <c r="H78" s="108">
        <f>H$67*H$68/1025</f>
        <v>3.5121951219512195</v>
      </c>
      <c r="I78" s="108">
        <f>I$67*I$68/1025</f>
        <v>8.7804878048780495</v>
      </c>
      <c r="J78" s="108">
        <f t="shared" si="114"/>
        <v>8.7804878048780495</v>
      </c>
      <c r="K78" s="108">
        <f t="shared" si="114"/>
        <v>26.341463414634145</v>
      </c>
      <c r="L78" s="108">
        <f t="shared" si="114"/>
        <v>0</v>
      </c>
      <c r="M78" s="108">
        <f t="shared" si="114"/>
        <v>0</v>
      </c>
      <c r="N78" s="108">
        <f t="shared" si="114"/>
        <v>0</v>
      </c>
      <c r="O78" s="108">
        <f t="shared" si="114"/>
        <v>2.6341463414634148</v>
      </c>
      <c r="P78" s="108">
        <f t="shared" si="114"/>
        <v>5.2682926829268295</v>
      </c>
      <c r="Q78" s="108">
        <f t="shared" si="114"/>
        <v>8.7804878048780495</v>
      </c>
      <c r="R78" s="108">
        <f>R$67*R$68/1025</f>
        <v>2.6341463414634148</v>
      </c>
      <c r="S78" s="108">
        <f>S$67*S$68/1025</f>
        <v>2.6341463414634148</v>
      </c>
      <c r="T78" s="108">
        <f t="shared" si="114"/>
        <v>8.7804878048780495</v>
      </c>
      <c r="U78" s="108">
        <f t="shared" si="114"/>
        <v>8.7804878048780495</v>
      </c>
      <c r="V78" s="108">
        <f t="shared" si="114"/>
        <v>26.341463414634145</v>
      </c>
      <c r="W78" s="108">
        <f t="shared" si="114"/>
        <v>0</v>
      </c>
      <c r="X78" s="108">
        <f t="shared" si="114"/>
        <v>0</v>
      </c>
    </row>
    <row r="79" spans="1:24" s="146" customFormat="1" x14ac:dyDescent="0.2">
      <c r="A79" s="108" t="s">
        <v>86</v>
      </c>
      <c r="B79" s="108">
        <f>0.05*B$72+0.5*B$73+B$77</f>
        <v>0</v>
      </c>
      <c r="C79" s="108">
        <f t="shared" ref="C79:X79" si="115">0.05*C$72+0.5*C$73+C$77</f>
        <v>1.6666666589506171E-5</v>
      </c>
      <c r="D79" s="108">
        <f t="shared" si="115"/>
        <v>1.6666666628086421E-5</v>
      </c>
      <c r="E79" s="108">
        <f t="shared" si="115"/>
        <v>1.6666666621278143E-5</v>
      </c>
      <c r="F79" s="108">
        <f t="shared" si="115"/>
        <v>1.6666666635802471E-5</v>
      </c>
      <c r="G79" s="108">
        <f>0.05*G$72+0.5*G$73+G$77</f>
        <v>1.6666666589506171E-5</v>
      </c>
      <c r="H79" s="108">
        <f>0.05*H$72+0.5*H$73+H$77</f>
        <v>1.6666666589506171E-5</v>
      </c>
      <c r="I79" s="108">
        <f>0.05*I$72+0.5*I$73+I$77</f>
        <v>1.6666666635802471E-5</v>
      </c>
      <c r="J79" s="108">
        <f t="shared" si="115"/>
        <v>1.6666666635802471E-5</v>
      </c>
      <c r="K79" s="108">
        <f t="shared" si="115"/>
        <v>1.6666666656378602E-5</v>
      </c>
      <c r="L79" s="108">
        <f t="shared" si="115"/>
        <v>0</v>
      </c>
      <c r="M79" s="108">
        <f t="shared" si="115"/>
        <v>0</v>
      </c>
      <c r="N79" s="108">
        <f t="shared" si="115"/>
        <v>0</v>
      </c>
      <c r="O79" s="108">
        <f t="shared" si="115"/>
        <v>1.6666666563786008E-5</v>
      </c>
      <c r="P79" s="108">
        <f t="shared" si="115"/>
        <v>1.6666666615226336E-5</v>
      </c>
      <c r="Q79" s="108">
        <f t="shared" si="115"/>
        <v>1.6666666635802471E-5</v>
      </c>
      <c r="R79" s="108">
        <f>0.05*R$72+0.5*R$73+R$77</f>
        <v>1.6666666563786008E-5</v>
      </c>
      <c r="S79" s="108">
        <f>0.05*S$72+0.5*S$73+S$77</f>
        <v>1.6666666563786008E-5</v>
      </c>
      <c r="T79" s="108">
        <f t="shared" si="115"/>
        <v>1.6666666635802471E-5</v>
      </c>
      <c r="U79" s="108">
        <f t="shared" si="115"/>
        <v>1.6666666635802471E-5</v>
      </c>
      <c r="V79" s="108">
        <f t="shared" si="115"/>
        <v>1.6666666656378602E-5</v>
      </c>
      <c r="W79" s="108">
        <f t="shared" si="115"/>
        <v>0</v>
      </c>
      <c r="X79" s="108">
        <f t="shared" si="115"/>
        <v>0</v>
      </c>
    </row>
    <row r="80" spans="1:24" s="146" customFormat="1" x14ac:dyDescent="0.2">
      <c r="A80" s="108" t="s">
        <v>87</v>
      </c>
      <c r="B80" s="108">
        <f>B$71*0.49</f>
        <v>1960</v>
      </c>
      <c r="C80" s="108">
        <f t="shared" ref="C80:X80" si="116">C$71*0.49</f>
        <v>1960</v>
      </c>
      <c r="D80" s="108">
        <f t="shared" si="116"/>
        <v>1960</v>
      </c>
      <c r="E80" s="108">
        <f t="shared" si="116"/>
        <v>1960</v>
      </c>
      <c r="F80" s="108">
        <f t="shared" si="116"/>
        <v>1960</v>
      </c>
      <c r="G80" s="108">
        <f>G$71*0.49</f>
        <v>1960</v>
      </c>
      <c r="H80" s="108">
        <f>H$71*0.49</f>
        <v>1960</v>
      </c>
      <c r="I80" s="108">
        <f>I$71*0.49</f>
        <v>1960</v>
      </c>
      <c r="J80" s="108">
        <f t="shared" si="116"/>
        <v>1960</v>
      </c>
      <c r="K80" s="108">
        <f t="shared" si="116"/>
        <v>1960</v>
      </c>
      <c r="L80" s="108">
        <f t="shared" si="116"/>
        <v>1960</v>
      </c>
      <c r="M80" s="108">
        <f t="shared" si="116"/>
        <v>1960</v>
      </c>
      <c r="N80" s="108">
        <f t="shared" si="116"/>
        <v>1470</v>
      </c>
      <c r="O80" s="108">
        <f t="shared" si="116"/>
        <v>1470</v>
      </c>
      <c r="P80" s="108">
        <f t="shared" si="116"/>
        <v>1470</v>
      </c>
      <c r="Q80" s="108">
        <f t="shared" si="116"/>
        <v>1470</v>
      </c>
      <c r="R80" s="108">
        <f>R$71*0.49</f>
        <v>1470</v>
      </c>
      <c r="S80" s="108">
        <f>S$71*0.49</f>
        <v>1470</v>
      </c>
      <c r="T80" s="108">
        <f t="shared" si="116"/>
        <v>1470</v>
      </c>
      <c r="U80" s="108">
        <f t="shared" si="116"/>
        <v>1470</v>
      </c>
      <c r="V80" s="108">
        <f t="shared" si="116"/>
        <v>1470</v>
      </c>
      <c r="W80" s="108">
        <f t="shared" si="116"/>
        <v>1470</v>
      </c>
      <c r="X80" s="108">
        <f t="shared" si="116"/>
        <v>1470</v>
      </c>
    </row>
    <row r="81" spans="1:24" s="146" customFormat="1" x14ac:dyDescent="0.2">
      <c r="A81" s="108" t="s">
        <v>88</v>
      </c>
      <c r="B81" s="108">
        <f>MIN(1,(0.2+0.8*B$78/9))</f>
        <v>0.2</v>
      </c>
      <c r="C81" s="108">
        <f t="shared" ref="C81:X81" si="117">MIN(1,(0.2+0.8*C$78/9))</f>
        <v>0.51219512195121952</v>
      </c>
      <c r="D81" s="108">
        <f t="shared" si="117"/>
        <v>0.82439024390243909</v>
      </c>
      <c r="E81" s="108">
        <f t="shared" si="117"/>
        <v>0.82439024390243909</v>
      </c>
      <c r="F81" s="108">
        <f t="shared" si="117"/>
        <v>0.98048780487804899</v>
      </c>
      <c r="G81" s="108">
        <f>MIN(1,(0.2+0.8*G$78/9))</f>
        <v>0.51219512195121952</v>
      </c>
      <c r="H81" s="108">
        <f>MIN(1,(0.2+0.8*H$78/9))</f>
        <v>0.51219512195121952</v>
      </c>
      <c r="I81" s="108">
        <f>MIN(1,(0.2+0.8*I$78/9))</f>
        <v>0.98048780487804899</v>
      </c>
      <c r="J81" s="108">
        <f t="shared" si="117"/>
        <v>0.98048780487804899</v>
      </c>
      <c r="K81" s="108">
        <f t="shared" si="117"/>
        <v>1</v>
      </c>
      <c r="L81" s="108">
        <f t="shared" si="117"/>
        <v>0.2</v>
      </c>
      <c r="M81" s="108">
        <f t="shared" si="117"/>
        <v>0.2</v>
      </c>
      <c r="N81" s="108">
        <f t="shared" si="117"/>
        <v>0.2</v>
      </c>
      <c r="O81" s="108">
        <f t="shared" si="117"/>
        <v>0.43414634146341469</v>
      </c>
      <c r="P81" s="108">
        <f t="shared" si="117"/>
        <v>0.66829268292682931</v>
      </c>
      <c r="Q81" s="108">
        <f t="shared" si="117"/>
        <v>0.98048780487804899</v>
      </c>
      <c r="R81" s="108">
        <f>MIN(1,(0.2+0.8*R$78/9))</f>
        <v>0.43414634146341469</v>
      </c>
      <c r="S81" s="108">
        <f>MIN(1,(0.2+0.8*S$78/9))</f>
        <v>0.43414634146341469</v>
      </c>
      <c r="T81" s="108">
        <f t="shared" si="117"/>
        <v>0.98048780487804899</v>
      </c>
      <c r="U81" s="108">
        <f t="shared" si="117"/>
        <v>0.98048780487804899</v>
      </c>
      <c r="V81" s="108">
        <f t="shared" si="117"/>
        <v>1</v>
      </c>
      <c r="W81" s="108">
        <f t="shared" si="117"/>
        <v>0.2</v>
      </c>
      <c r="X81" s="108">
        <f t="shared" si="117"/>
        <v>0.2</v>
      </c>
    </row>
    <row r="82" spans="1:24" s="146" customFormat="1" x14ac:dyDescent="0.2">
      <c r="A82" s="108" t="s">
        <v>89</v>
      </c>
      <c r="B82" s="108">
        <f>B$80+B$79*B$81</f>
        <v>1960</v>
      </c>
      <c r="C82" s="108">
        <f t="shared" ref="C82:X82" si="118">C$80+C$79*C$81</f>
        <v>1960.0000085365853</v>
      </c>
      <c r="D82" s="108">
        <f t="shared" si="118"/>
        <v>1960.0000137398374</v>
      </c>
      <c r="E82" s="108">
        <f t="shared" si="118"/>
        <v>1960.0000137398374</v>
      </c>
      <c r="F82" s="108">
        <f t="shared" si="118"/>
        <v>1960.0000163414634</v>
      </c>
      <c r="G82" s="108">
        <f>G$80+G$79*G$81</f>
        <v>1960.0000085365853</v>
      </c>
      <c r="H82" s="108">
        <f>H$80+H$79*H$81</f>
        <v>1960.0000085365853</v>
      </c>
      <c r="I82" s="108">
        <f>I$80+I$79*I$81</f>
        <v>1960.0000163414634</v>
      </c>
      <c r="J82" s="108">
        <f t="shared" si="118"/>
        <v>1960.0000163414634</v>
      </c>
      <c r="K82" s="108">
        <f t="shared" si="118"/>
        <v>1960.0000166666666</v>
      </c>
      <c r="L82" s="108">
        <f t="shared" si="118"/>
        <v>1960</v>
      </c>
      <c r="M82" s="108">
        <f t="shared" si="118"/>
        <v>1960</v>
      </c>
      <c r="N82" s="108">
        <f t="shared" si="118"/>
        <v>1470</v>
      </c>
      <c r="O82" s="108">
        <f t="shared" si="118"/>
        <v>1470.0000072357723</v>
      </c>
      <c r="P82" s="108">
        <f t="shared" si="118"/>
        <v>1470.0000111382114</v>
      </c>
      <c r="Q82" s="108">
        <f t="shared" si="118"/>
        <v>1470.0000163414634</v>
      </c>
      <c r="R82" s="108">
        <f>R$80+R$79*R$81</f>
        <v>1470.0000072357723</v>
      </c>
      <c r="S82" s="108">
        <f>S$80+S$79*S$81</f>
        <v>1470.0000072357723</v>
      </c>
      <c r="T82" s="108">
        <f t="shared" si="118"/>
        <v>1470.0000163414634</v>
      </c>
      <c r="U82" s="108">
        <f t="shared" si="118"/>
        <v>1470.0000163414634</v>
      </c>
      <c r="V82" s="108">
        <f t="shared" si="118"/>
        <v>1470.0000166666666</v>
      </c>
      <c r="W82" s="108">
        <f t="shared" si="118"/>
        <v>1470</v>
      </c>
      <c r="X82" s="108">
        <f t="shared" si="118"/>
        <v>1470</v>
      </c>
    </row>
    <row r="83" spans="1:24" s="146" customFormat="1" x14ac:dyDescent="0.2">
      <c r="A83" s="108" t="s">
        <v>90</v>
      </c>
      <c r="B83" s="108">
        <f>0.51*B$71+0.1*B$72+0.5*B$73</f>
        <v>2040</v>
      </c>
      <c r="C83" s="108">
        <f t="shared" ref="C83:X83" si="119">0.51*C$71+0.1*C$72+0.5*C$73</f>
        <v>2040</v>
      </c>
      <c r="D83" s="108">
        <f t="shared" si="119"/>
        <v>2040</v>
      </c>
      <c r="E83" s="108">
        <f t="shared" si="119"/>
        <v>2040</v>
      </c>
      <c r="F83" s="108">
        <f t="shared" si="119"/>
        <v>2040</v>
      </c>
      <c r="G83" s="108">
        <f>0.51*G$71+0.1*G$72+0.5*G$73</f>
        <v>2040</v>
      </c>
      <c r="H83" s="108">
        <f>0.51*H$71+0.1*H$72+0.5*H$73</f>
        <v>2040</v>
      </c>
      <c r="I83" s="108">
        <f>0.51*I$71+0.1*I$72+0.5*I$73</f>
        <v>2040</v>
      </c>
      <c r="J83" s="108">
        <f t="shared" si="119"/>
        <v>2040</v>
      </c>
      <c r="K83" s="108">
        <f t="shared" si="119"/>
        <v>2040</v>
      </c>
      <c r="L83" s="108">
        <f t="shared" si="119"/>
        <v>2040</v>
      </c>
      <c r="M83" s="108">
        <f t="shared" si="119"/>
        <v>2040</v>
      </c>
      <c r="N83" s="108">
        <f t="shared" si="119"/>
        <v>1530</v>
      </c>
      <c r="O83" s="108">
        <f t="shared" si="119"/>
        <v>1530</v>
      </c>
      <c r="P83" s="108">
        <f t="shared" si="119"/>
        <v>1530</v>
      </c>
      <c r="Q83" s="108">
        <f t="shared" si="119"/>
        <v>1530</v>
      </c>
      <c r="R83" s="108">
        <f>0.51*R$71+0.1*R$72+0.5*R$73</f>
        <v>1530</v>
      </c>
      <c r="S83" s="108">
        <f>0.51*S$71+0.1*S$72+0.5*S$73</f>
        <v>1530</v>
      </c>
      <c r="T83" s="108">
        <f t="shared" si="119"/>
        <v>1530</v>
      </c>
      <c r="U83" s="108">
        <f t="shared" si="119"/>
        <v>1530</v>
      </c>
      <c r="V83" s="108">
        <f t="shared" si="119"/>
        <v>1530</v>
      </c>
      <c r="W83" s="108">
        <f t="shared" si="119"/>
        <v>1530</v>
      </c>
      <c r="X83" s="108">
        <f t="shared" si="119"/>
        <v>1530</v>
      </c>
    </row>
    <row r="84" spans="1:24" s="146" customFormat="1" x14ac:dyDescent="0.2">
      <c r="A84" s="108" t="s">
        <v>91</v>
      </c>
      <c r="B84" s="108" t="e">
        <f>29.468*(B$70/B$78)/(29.468*B$70/B$78+1)*0.844*B$70/(B$83/1000+0.0000001)/(0.844*B$70/(B$83/1000+0.0000001)+1)</f>
        <v>#DIV/0!</v>
      </c>
      <c r="C84" s="108">
        <f t="shared" ref="C84:X84" si="120">29.468*(C$70/C$78)/(29.468*C$70/C$78+1)*0.844*C$70/(C$83/1000+0.0000001)/(0.844*C$70/(C$83/1000+0.0000001)+1)</f>
        <v>0</v>
      </c>
      <c r="D84" s="108">
        <f t="shared" si="120"/>
        <v>0</v>
      </c>
      <c r="E84" s="108">
        <f t="shared" si="120"/>
        <v>0</v>
      </c>
      <c r="F84" s="108">
        <f t="shared" si="120"/>
        <v>0</v>
      </c>
      <c r="G84" s="108">
        <f>29.468*(G$70/G$78)/(29.468*G$70/G$78+1)*0.844*G$70/(G$83/1000+0.0000001)/(0.844*G$70/(G$83/1000+0.0000001)+1)</f>
        <v>0.60530224384310904</v>
      </c>
      <c r="H84" s="108">
        <f>29.468*(H$70/H$78)/(29.468*H$70/H$78+1)*0.844*H$70/(H$83/1000+0.0000001)/(0.844*H$70/(H$83/1000+0.0000001)+1)</f>
        <v>0.75669733693217833</v>
      </c>
      <c r="I84" s="108">
        <f>29.468*(I$70/I$78)/(29.468*I$70/I$78+1)*0.844*I$70/(I$83/1000+0.0000001)/(0.844*I$70/(I$83/1000+0.0000001)+1)</f>
        <v>0.74039425383756785</v>
      </c>
      <c r="J84" s="108">
        <f t="shared" si="120"/>
        <v>0.85287658390484467</v>
      </c>
      <c r="K84" s="108">
        <f t="shared" si="120"/>
        <v>0.89866145866292479</v>
      </c>
      <c r="L84" s="108" t="e">
        <f t="shared" si="120"/>
        <v>#DIV/0!</v>
      </c>
      <c r="M84" s="108" t="e">
        <f t="shared" si="120"/>
        <v>#DIV/0!</v>
      </c>
      <c r="N84" s="108" t="e">
        <f t="shared" si="120"/>
        <v>#DIV/0!</v>
      </c>
      <c r="O84" s="108">
        <f t="shared" si="120"/>
        <v>0</v>
      </c>
      <c r="P84" s="108">
        <f t="shared" si="120"/>
        <v>0</v>
      </c>
      <c r="Q84" s="108">
        <f t="shared" si="120"/>
        <v>0</v>
      </c>
      <c r="R84" s="108">
        <f>29.468*(R$70/R$78)/(29.468*R$70/R$78+1)*0.844*R$70/(R$83/1000+0.0000001)/(0.844*R$70/(R$83/1000+0.0000001)+1)</f>
        <v>0.60530224011771372</v>
      </c>
      <c r="S84" s="108">
        <f>29.468*(S$70/S$78)/(29.468*S$70/S$78+1)*0.844*S$70/(S$83/1000+0.0000001)/(0.844*S$70/(S$83/1000+0.0000001)+1)</f>
        <v>0.75669733406329254</v>
      </c>
      <c r="T84" s="108">
        <f t="shared" si="120"/>
        <v>0.78598723438548623</v>
      </c>
      <c r="U84" s="108">
        <f t="shared" si="120"/>
        <v>0.88180880785710281</v>
      </c>
      <c r="V84" s="108">
        <f t="shared" si="120"/>
        <v>0.91573100585887035</v>
      </c>
      <c r="W84" s="108" t="e">
        <f t="shared" si="120"/>
        <v>#DIV/0!</v>
      </c>
      <c r="X84" s="108" t="e">
        <f t="shared" si="120"/>
        <v>#DIV/0!</v>
      </c>
    </row>
    <row r="85" spans="1:24" s="146" customFormat="1" x14ac:dyDescent="0.2">
      <c r="A85" s="108" t="s">
        <v>92</v>
      </c>
      <c r="B85" s="108" t="e">
        <f>MIN(1,1.05/(1+0.982*(B$69/MAX(1,B$82))^1.0378)+(B$84*2.305)/(1+1.961*(B$69/MAX(1,B$83))^0.947)-0.05/(1+(1-B$86)^2))</f>
        <v>#DIV/0!</v>
      </c>
      <c r="C85" s="108">
        <f t="shared" ref="C85:X85" si="121">MIN(1,1.05/(1+0.982*(C$69/MAX(1,C$82))^1.0378)+(C$84*2.305)/(1+1.961*(C$69/MAX(1,C$83))^0.947)-0.05/(1+(1-C$86)^2))</f>
        <v>0.31948726934688249</v>
      </c>
      <c r="D85" s="108">
        <f t="shared" si="121"/>
        <v>0.18874200106920744</v>
      </c>
      <c r="E85" s="108">
        <f t="shared" si="121"/>
        <v>0.21088734638010159</v>
      </c>
      <c r="F85" s="108">
        <f t="shared" si="121"/>
        <v>0.16224417913596745</v>
      </c>
      <c r="G85" s="108">
        <f>MIN(1,1.05/(1+0.982*(G$69/MAX(1,G$82))^1.0378)+(G$84*2.305)/(1+1.961*(G$69/MAX(1,G$83))^0.947)-0.05/(1+(1-G$86)^2))</f>
        <v>0.6396415970685424</v>
      </c>
      <c r="H85" s="108">
        <f>MIN(1,1.05/(1+0.982*(H$69/MAX(1,H$82))^1.0378)+(H$84*2.305)/(1+1.961*(H$69/MAX(1,H$83))^0.947)-0.05/(1+(1-H$86)^2))</f>
        <v>0.7197169556869919</v>
      </c>
      <c r="I85" s="108">
        <f>MIN(1,1.05/(1+0.982*(I$69/MAX(1,I$82))^1.0378)+(I$84*2.305)/(1+1.961*(I$69/MAX(1,I$83))^0.947)-0.05/(1+(1-I$86)^2))</f>
        <v>0.35193122972708696</v>
      </c>
      <c r="J85" s="108">
        <f t="shared" si="121"/>
        <v>0.38074890534178651</v>
      </c>
      <c r="K85" s="108">
        <f t="shared" si="121"/>
        <v>0.15205961914009627</v>
      </c>
      <c r="L85" s="108" t="e">
        <f t="shared" si="121"/>
        <v>#DIV/0!</v>
      </c>
      <c r="M85" s="108" t="e">
        <f t="shared" si="121"/>
        <v>#DIV/0!</v>
      </c>
      <c r="N85" s="108" t="e">
        <f t="shared" si="121"/>
        <v>#DIV/0!</v>
      </c>
      <c r="O85" s="108">
        <f t="shared" si="121"/>
        <v>0.31948800613262107</v>
      </c>
      <c r="P85" s="108">
        <f t="shared" si="121"/>
        <v>0.18873754050268482</v>
      </c>
      <c r="Q85" s="108">
        <f t="shared" si="121"/>
        <v>0.13115012859101627</v>
      </c>
      <c r="R85" s="108">
        <f>MIN(1,1.05/(1+0.982*(R$69/MAX(1,R$82))^1.0378)+(R$84*2.305)/(1+1.961*(R$69/MAX(1,R$83))^0.947)-0.05/(1+(1-R$86)^2))</f>
        <v>0.63964233188385811</v>
      </c>
      <c r="S85" s="108">
        <f>MIN(1,1.05/(1+0.982*(S$69/MAX(1,S$82))^1.0378)+(S$84*2.305)/(1+1.961*(S$69/MAX(1,S$83))^0.947)-0.05/(1+(1-S$86)^2))</f>
        <v>0.71971769095532956</v>
      </c>
      <c r="T85" s="108">
        <f t="shared" si="121"/>
        <v>0.28867170112301777</v>
      </c>
      <c r="U85" s="108">
        <f t="shared" si="121"/>
        <v>0.30787553074696933</v>
      </c>
      <c r="V85" s="108">
        <f t="shared" si="121"/>
        <v>0.11761764415171402</v>
      </c>
      <c r="W85" s="108" t="e">
        <f t="shared" si="121"/>
        <v>#DIV/0!</v>
      </c>
      <c r="X85" s="108" t="e">
        <f t="shared" si="121"/>
        <v>#DIV/0!</v>
      </c>
    </row>
    <row r="86" spans="1:24" s="146" customFormat="1" x14ac:dyDescent="0.2">
      <c r="A86" s="108" t="s">
        <v>93</v>
      </c>
      <c r="B86" s="108">
        <f>B$69/(B$71+1)</f>
        <v>0</v>
      </c>
      <c r="C86" s="108">
        <f t="shared" ref="C86:X86" si="122">C$69/(C$71+1)</f>
        <v>0.89977505623594101</v>
      </c>
      <c r="D86" s="108">
        <f t="shared" si="122"/>
        <v>1.799550112471882</v>
      </c>
      <c r="E86" s="108">
        <f t="shared" si="122"/>
        <v>1.5296175956010998</v>
      </c>
      <c r="F86" s="108">
        <f t="shared" si="122"/>
        <v>2.2494376405898526</v>
      </c>
      <c r="G86" s="108">
        <f>G$69/(G$71+1)</f>
        <v>0.89977505623594101</v>
      </c>
      <c r="H86" s="108">
        <f>H$69/(H$71+1)</f>
        <v>0.89977505623594101</v>
      </c>
      <c r="I86" s="108">
        <f>I$69/(I$71+1)</f>
        <v>2.2494376405898526</v>
      </c>
      <c r="J86" s="108">
        <f t="shared" si="122"/>
        <v>2.2494376405898526</v>
      </c>
      <c r="K86" s="108">
        <f t="shared" si="122"/>
        <v>6.7483129217695579</v>
      </c>
      <c r="L86" s="108">
        <f t="shared" si="122"/>
        <v>0</v>
      </c>
      <c r="M86" s="108">
        <f t="shared" si="122"/>
        <v>0</v>
      </c>
      <c r="N86" s="108">
        <f t="shared" si="122"/>
        <v>0</v>
      </c>
      <c r="O86" s="108">
        <f t="shared" si="122"/>
        <v>0.89970009996667777</v>
      </c>
      <c r="P86" s="108">
        <f t="shared" si="122"/>
        <v>1.7994001999333555</v>
      </c>
      <c r="Q86" s="108">
        <f t="shared" si="122"/>
        <v>2.9990003332222592</v>
      </c>
      <c r="R86" s="108">
        <f>R$69/(R$71+1)</f>
        <v>0.89970009996667777</v>
      </c>
      <c r="S86" s="108">
        <f>S$69/(S$71+1)</f>
        <v>0.89970009996667777</v>
      </c>
      <c r="T86" s="108">
        <f t="shared" si="122"/>
        <v>2.9990003332222592</v>
      </c>
      <c r="U86" s="108">
        <f t="shared" si="122"/>
        <v>2.9990003332222592</v>
      </c>
      <c r="V86" s="108">
        <f t="shared" si="122"/>
        <v>8.9970009996667777</v>
      </c>
      <c r="W86" s="108">
        <f t="shared" si="122"/>
        <v>0</v>
      </c>
      <c r="X86" s="108">
        <f t="shared" si="122"/>
        <v>0</v>
      </c>
    </row>
    <row r="87" spans="1:24" s="146" customFormat="1" x14ac:dyDescent="0.2">
      <c r="A87" s="108" t="s">
        <v>94</v>
      </c>
      <c r="B87" s="108" t="e">
        <f>MIN(1,1.05/(1+0.982*(B$69/MAX(1,B$82))^1.0378)+0*(B$84*2.305)/(1+1.961*(B$69/MAX(1,B$83))^0.947)-0.05/(1+(1-B$86)^2))</f>
        <v>#DIV/0!</v>
      </c>
      <c r="C87" s="108">
        <f t="shared" ref="C87:X87" si="123">MIN(1,1.05/(1+0.982*(C$69/MAX(1,C$82))^1.0378)+0*(C$84*2.305)/(1+1.961*(C$69/MAX(1,C$83))^0.947)-0.05/(1+(1-C$86)^2))</f>
        <v>0.31948726934688249</v>
      </c>
      <c r="D87" s="108">
        <f t="shared" si="123"/>
        <v>0.18874200106920744</v>
      </c>
      <c r="E87" s="108">
        <f t="shared" si="123"/>
        <v>0.21088734638010159</v>
      </c>
      <c r="F87" s="108">
        <f t="shared" si="123"/>
        <v>0.16224417913596745</v>
      </c>
      <c r="G87" s="108">
        <f>MIN(1,1.05/(1+0.982*(G$69/MAX(1,G$82))^1.0378)+0*(G$84*2.305)/(1+1.961*(G$69/MAX(1,G$83))^0.947)-0.05/(1+(1-G$86)^2))</f>
        <v>0.31948726934688249</v>
      </c>
      <c r="H87" s="108">
        <f>MIN(1,1.05/(1+0.982*(H$69/MAX(1,H$82))^1.0378)+0*(H$84*2.305)/(1+1.961*(H$69/MAX(1,H$83))^0.947)-0.05/(1+(1-H$86)^2))</f>
        <v>0.31948726934688249</v>
      </c>
      <c r="I87" s="108">
        <f>MIN(1,1.05/(1+0.982*(I$69/MAX(1,I$82))^1.0378)+0*(I$84*2.305)/(1+1.961*(I$69/MAX(1,I$83))^0.947)-0.05/(1+(1-I$86)^2))</f>
        <v>0.16224417913596745</v>
      </c>
      <c r="J87" s="108">
        <f t="shared" si="123"/>
        <v>0.16224417913596745</v>
      </c>
      <c r="K87" s="108">
        <f t="shared" si="123"/>
        <v>6.4413693526516991E-2</v>
      </c>
      <c r="L87" s="108" t="e">
        <f t="shared" si="123"/>
        <v>#DIV/0!</v>
      </c>
      <c r="M87" s="108" t="e">
        <f t="shared" si="123"/>
        <v>#DIV/0!</v>
      </c>
      <c r="N87" s="108" t="e">
        <f t="shared" si="123"/>
        <v>#DIV/0!</v>
      </c>
      <c r="O87" s="108">
        <f t="shared" si="123"/>
        <v>0.31948800613262107</v>
      </c>
      <c r="P87" s="108">
        <f t="shared" si="123"/>
        <v>0.18873754050268482</v>
      </c>
      <c r="Q87" s="108">
        <f t="shared" si="123"/>
        <v>0.13115012859101627</v>
      </c>
      <c r="R87" s="108">
        <f>MIN(1,1.05/(1+0.982*(R$69/MAX(1,R$82))^1.0378)+0*(R$84*2.305)/(1+1.961*(R$69/MAX(1,R$83))^0.947)-0.05/(1+(1-R$86)^2))</f>
        <v>0.31948800613262107</v>
      </c>
      <c r="S87" s="108">
        <f>MIN(1,1.05/(1+0.982*(S$69/MAX(1,S$82))^1.0378)+0*(S$84*2.305)/(1+1.961*(S$69/MAX(1,S$83))^0.947)-0.05/(1+(1-S$86)^2))</f>
        <v>0.31948800613262107</v>
      </c>
      <c r="T87" s="108">
        <f t="shared" si="123"/>
        <v>0.13115012859101627</v>
      </c>
      <c r="U87" s="108">
        <f t="shared" si="123"/>
        <v>0.13115012859101627</v>
      </c>
      <c r="V87" s="108">
        <f t="shared" si="123"/>
        <v>4.8912216980250146E-2</v>
      </c>
      <c r="W87" s="108" t="e">
        <f t="shared" si="123"/>
        <v>#DIV/0!</v>
      </c>
      <c r="X87" s="108" t="e">
        <f t="shared" si="123"/>
        <v>#DIV/0!</v>
      </c>
    </row>
    <row r="88" spans="1:24" s="146" customForma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</row>
    <row r="89" spans="1:24" s="146" customFormat="1" x14ac:dyDescent="0.2">
      <c r="A89" s="108" t="s">
        <v>95</v>
      </c>
      <c r="B89" s="108">
        <v>0.2</v>
      </c>
      <c r="C89" s="108">
        <v>0.2</v>
      </c>
      <c r="D89" s="108">
        <v>1.2</v>
      </c>
      <c r="E89" s="108">
        <v>2.2000000000000002</v>
      </c>
      <c r="F89" s="108">
        <v>0.2</v>
      </c>
      <c r="G89" s="108">
        <v>0.2</v>
      </c>
      <c r="H89" s="108">
        <v>0.2</v>
      </c>
      <c r="I89" s="108">
        <v>0.2</v>
      </c>
      <c r="J89" s="108">
        <v>0.2</v>
      </c>
      <c r="K89" s="108">
        <v>0.2</v>
      </c>
      <c r="L89" s="108">
        <v>0.2</v>
      </c>
      <c r="M89" s="108">
        <v>0.2</v>
      </c>
      <c r="N89" s="108">
        <v>0.2</v>
      </c>
      <c r="O89" s="108">
        <v>0.2</v>
      </c>
      <c r="P89" s="108">
        <v>0.2</v>
      </c>
      <c r="Q89" s="108">
        <v>0.2</v>
      </c>
      <c r="R89" s="108">
        <v>0.2</v>
      </c>
      <c r="S89" s="108">
        <v>0.2</v>
      </c>
      <c r="T89" s="108">
        <v>0.2</v>
      </c>
      <c r="U89" s="108">
        <v>0.2</v>
      </c>
      <c r="V89" s="108">
        <v>0.2</v>
      </c>
      <c r="W89" s="108">
        <v>0.2</v>
      </c>
      <c r="X89" s="108">
        <v>0.2</v>
      </c>
    </row>
    <row r="90" spans="1:24" s="146" customFormat="1" x14ac:dyDescent="0.2">
      <c r="A90" s="108" t="s">
        <v>96</v>
      </c>
      <c r="B90" s="108" t="e">
        <f>(B$85-B$87)*B$69</f>
        <v>#DIV/0!</v>
      </c>
      <c r="C90" s="108">
        <f t="shared" ref="C90:X90" si="124">(C$85-C$87)*C$69</f>
        <v>0</v>
      </c>
      <c r="D90" s="108">
        <f t="shared" si="124"/>
        <v>0</v>
      </c>
      <c r="E90" s="108">
        <f t="shared" si="124"/>
        <v>0</v>
      </c>
      <c r="F90" s="108">
        <f t="shared" si="124"/>
        <v>0</v>
      </c>
      <c r="G90" s="108">
        <f>(G$85-G$87)*G$69</f>
        <v>1152.5555797979757</v>
      </c>
      <c r="H90" s="108">
        <f>(H$85-H$87)*H$69</f>
        <v>1440.8268708243938</v>
      </c>
      <c r="I90" s="108">
        <f>(I$85-I$87)*I$69</f>
        <v>1707.1834553200756</v>
      </c>
      <c r="J90" s="108">
        <f t="shared" si="124"/>
        <v>1966.5425358523717</v>
      </c>
      <c r="K90" s="108">
        <f t="shared" si="124"/>
        <v>2366.4399915666409</v>
      </c>
      <c r="L90" s="108" t="e">
        <f t="shared" si="124"/>
        <v>#DIV/0!</v>
      </c>
      <c r="M90" s="108" t="e">
        <f t="shared" si="124"/>
        <v>#DIV/0!</v>
      </c>
      <c r="N90" s="108" t="e">
        <f t="shared" si="124"/>
        <v>#DIV/0!</v>
      </c>
      <c r="O90" s="108">
        <f t="shared" si="124"/>
        <v>0</v>
      </c>
      <c r="P90" s="108">
        <f t="shared" si="124"/>
        <v>0</v>
      </c>
      <c r="Q90" s="108">
        <f t="shared" si="124"/>
        <v>0</v>
      </c>
      <c r="R90" s="108">
        <f>(R$85-R$87)*R$69</f>
        <v>864.41667952833996</v>
      </c>
      <c r="S90" s="108">
        <f>(S$85-S$87)*S$69</f>
        <v>1080.620149021313</v>
      </c>
      <c r="T90" s="108">
        <f t="shared" si="124"/>
        <v>1417.6941527880135</v>
      </c>
      <c r="U90" s="108">
        <f t="shared" si="124"/>
        <v>1590.5286194035775</v>
      </c>
      <c r="V90" s="108">
        <f t="shared" si="124"/>
        <v>1855.0465336295249</v>
      </c>
      <c r="W90" s="108" t="e">
        <f t="shared" si="124"/>
        <v>#DIV/0!</v>
      </c>
      <c r="X90" s="108" t="e">
        <f t="shared" si="124"/>
        <v>#DIV/0!</v>
      </c>
    </row>
    <row r="91" spans="1:24" s="146" customFormat="1" x14ac:dyDescent="0.2">
      <c r="A91" s="108" t="s">
        <v>97</v>
      </c>
      <c r="B91" s="108" t="e">
        <f>B$89*B$90</f>
        <v>#DIV/0!</v>
      </c>
      <c r="C91" s="108">
        <f t="shared" ref="C91:X91" si="125">C$89*C$90</f>
        <v>0</v>
      </c>
      <c r="D91" s="108">
        <f t="shared" si="125"/>
        <v>0</v>
      </c>
      <c r="E91" s="108">
        <f t="shared" si="125"/>
        <v>0</v>
      </c>
      <c r="F91" s="108">
        <f t="shared" si="125"/>
        <v>0</v>
      </c>
      <c r="G91" s="108">
        <f>G$89*G$90</f>
        <v>230.51111595959514</v>
      </c>
      <c r="H91" s="108">
        <f>H$89*H$90</f>
        <v>288.16537416487876</v>
      </c>
      <c r="I91" s="108">
        <f>I$89*I$90</f>
        <v>341.43669106401512</v>
      </c>
      <c r="J91" s="108">
        <f t="shared" si="125"/>
        <v>393.30850717047434</v>
      </c>
      <c r="K91" s="108">
        <f t="shared" si="125"/>
        <v>473.28799831332822</v>
      </c>
      <c r="L91" s="108" t="e">
        <f t="shared" si="125"/>
        <v>#DIV/0!</v>
      </c>
      <c r="M91" s="108" t="e">
        <f t="shared" si="125"/>
        <v>#DIV/0!</v>
      </c>
      <c r="N91" s="108" t="e">
        <f t="shared" si="125"/>
        <v>#DIV/0!</v>
      </c>
      <c r="O91" s="108">
        <f t="shared" si="125"/>
        <v>0</v>
      </c>
      <c r="P91" s="108">
        <f t="shared" si="125"/>
        <v>0</v>
      </c>
      <c r="Q91" s="108">
        <f t="shared" si="125"/>
        <v>0</v>
      </c>
      <c r="R91" s="108">
        <f>R$89*R$90</f>
        <v>172.88333590566799</v>
      </c>
      <c r="S91" s="108">
        <f>S$89*S$90</f>
        <v>216.12402980426259</v>
      </c>
      <c r="T91" s="108">
        <f t="shared" si="125"/>
        <v>283.53883055760269</v>
      </c>
      <c r="U91" s="108">
        <f t="shared" si="125"/>
        <v>318.10572388071552</v>
      </c>
      <c r="V91" s="108">
        <f t="shared" si="125"/>
        <v>371.00930672590499</v>
      </c>
      <c r="W91" s="108" t="e">
        <f t="shared" si="125"/>
        <v>#DIV/0!</v>
      </c>
      <c r="X91" s="108" t="e">
        <f t="shared" si="125"/>
        <v>#DIV/0!</v>
      </c>
    </row>
    <row r="92" spans="1:24" s="146" customFormat="1" x14ac:dyDescent="0.2">
      <c r="A92" s="108" t="s">
        <v>98</v>
      </c>
      <c r="B92" s="108" t="e">
        <f>B$85*B$69-B$91</f>
        <v>#DIV/0!</v>
      </c>
      <c r="C92" s="108">
        <f t="shared" ref="C92:X92" si="126">C$85*C$69-C$91</f>
        <v>1150.154169648777</v>
      </c>
      <c r="D92" s="108">
        <f t="shared" si="126"/>
        <v>1358.9424076982937</v>
      </c>
      <c r="E92" s="108">
        <f t="shared" si="126"/>
        <v>1290.6305598462218</v>
      </c>
      <c r="F92" s="108">
        <f t="shared" si="126"/>
        <v>1460.197612223707</v>
      </c>
      <c r="G92" s="108">
        <f>G$85*G$69-G$91</f>
        <v>2072.1986334871572</v>
      </c>
      <c r="H92" s="108">
        <f>H$85*H$69-H$91</f>
        <v>2302.8156663082918</v>
      </c>
      <c r="I92" s="108">
        <f>I$85*I$69-I$91</f>
        <v>2825.9443764797675</v>
      </c>
      <c r="J92" s="108">
        <f t="shared" si="126"/>
        <v>3033.4316409056041</v>
      </c>
      <c r="K92" s="108">
        <f t="shared" si="126"/>
        <v>3632.3217184692712</v>
      </c>
      <c r="L92" s="108" t="e">
        <f t="shared" si="126"/>
        <v>#DIV/0!</v>
      </c>
      <c r="M92" s="108" t="e">
        <f t="shared" si="126"/>
        <v>#DIV/0!</v>
      </c>
      <c r="N92" s="108" t="e">
        <f t="shared" si="126"/>
        <v>#DIV/0!</v>
      </c>
      <c r="O92" s="108">
        <f t="shared" si="126"/>
        <v>862.61761655807686</v>
      </c>
      <c r="P92" s="108">
        <f t="shared" si="126"/>
        <v>1019.182718714498</v>
      </c>
      <c r="Q92" s="108">
        <f t="shared" si="126"/>
        <v>1180.3511573191465</v>
      </c>
      <c r="R92" s="108">
        <f>R$85*R$69-R$91</f>
        <v>1554.1509601807488</v>
      </c>
      <c r="S92" s="108">
        <f>S$85*S$69-S$91</f>
        <v>1727.1137357751272</v>
      </c>
      <c r="T92" s="108">
        <f t="shared" si="126"/>
        <v>2314.5064795495573</v>
      </c>
      <c r="U92" s="108">
        <f t="shared" si="126"/>
        <v>2452.7740528420081</v>
      </c>
      <c r="V92" s="108">
        <f t="shared" si="126"/>
        <v>2804.6670853703736</v>
      </c>
      <c r="W92" s="108" t="e">
        <f t="shared" si="126"/>
        <v>#DIV/0!</v>
      </c>
      <c r="X92" s="108" t="e">
        <f t="shared" si="126"/>
        <v>#DIV/0!</v>
      </c>
    </row>
    <row r="93" spans="1:24" s="146" customFormat="1" x14ac:dyDescent="0.2"/>
    <row r="94" spans="1:24" s="146" customFormat="1" x14ac:dyDescent="0.2"/>
    <row r="95" spans="1:24" s="34" customFormat="1" x14ac:dyDescent="0.2"/>
    <row r="96" spans="1:24" s="34" customFormat="1" x14ac:dyDescent="0.2"/>
    <row r="97" s="34" customFormat="1" x14ac:dyDescent="0.2"/>
    <row r="98" s="34" customFormat="1" x14ac:dyDescent="0.2"/>
    <row r="99" s="34" customFormat="1" x14ac:dyDescent="0.2"/>
    <row r="100" s="34" customFormat="1" x14ac:dyDescent="0.2"/>
    <row r="101" s="34" customFormat="1" x14ac:dyDescent="0.2"/>
    <row r="102" s="34" customFormat="1" x14ac:dyDescent="0.2"/>
    <row r="103" s="34" customFormat="1" x14ac:dyDescent="0.2"/>
    <row r="104" s="34" customFormat="1" x14ac:dyDescent="0.2"/>
    <row r="105" s="34" customFormat="1" x14ac:dyDescent="0.2"/>
    <row r="106" s="34" customFormat="1" x14ac:dyDescent="0.2"/>
    <row r="107" s="34" customFormat="1" x14ac:dyDescent="0.2"/>
    <row r="108" s="34" customFormat="1" x14ac:dyDescent="0.2"/>
    <row r="109" s="34" customFormat="1" x14ac:dyDescent="0.2"/>
    <row r="110" s="34" customFormat="1" x14ac:dyDescent="0.2"/>
    <row r="111" s="34" customFormat="1" x14ac:dyDescent="0.2"/>
    <row r="112" s="34" customFormat="1" x14ac:dyDescent="0.2"/>
    <row r="113" s="34" customFormat="1" x14ac:dyDescent="0.2"/>
    <row r="114" s="34" customFormat="1" x14ac:dyDescent="0.2"/>
    <row r="115" s="34" customFormat="1" x14ac:dyDescent="0.2"/>
    <row r="116" s="34" customFormat="1" x14ac:dyDescent="0.2"/>
    <row r="117" s="34" customFormat="1" x14ac:dyDescent="0.2"/>
    <row r="118" s="34" customFormat="1" x14ac:dyDescent="0.2"/>
    <row r="119" s="34" customFormat="1" x14ac:dyDescent="0.2"/>
    <row r="120" s="34" customFormat="1" x14ac:dyDescent="0.2"/>
    <row r="121" s="34" customFormat="1" x14ac:dyDescent="0.2"/>
    <row r="122" s="34" customFormat="1" x14ac:dyDescent="0.2"/>
    <row r="123" s="34" customFormat="1" x14ac:dyDescent="0.2"/>
    <row r="124" s="34" customFormat="1" x14ac:dyDescent="0.2"/>
    <row r="125" s="34" customFormat="1" x14ac:dyDescent="0.2"/>
    <row r="126" s="34" customFormat="1" x14ac:dyDescent="0.2"/>
    <row r="127" s="34" customFormat="1" x14ac:dyDescent="0.2"/>
    <row r="128" s="34" customFormat="1" x14ac:dyDescent="0.2"/>
    <row r="129" s="34" customFormat="1" x14ac:dyDescent="0.2"/>
    <row r="130" s="34" customFormat="1" x14ac:dyDescent="0.2"/>
    <row r="131" s="34" customFormat="1" x14ac:dyDescent="0.2"/>
    <row r="132" s="34" customFormat="1" x14ac:dyDescent="0.2"/>
    <row r="133" s="34" customFormat="1" x14ac:dyDescent="0.2"/>
    <row r="134" s="34" customFormat="1" x14ac:dyDescent="0.2"/>
    <row r="135" s="34" customFormat="1" x14ac:dyDescent="0.2"/>
    <row r="136" s="34" customFormat="1" x14ac:dyDescent="0.2"/>
    <row r="137" s="34" customFormat="1" x14ac:dyDescent="0.2"/>
    <row r="138" s="34" customFormat="1" x14ac:dyDescent="0.2"/>
    <row r="139" s="34" customFormat="1" x14ac:dyDescent="0.2"/>
    <row r="140" s="34" customFormat="1" x14ac:dyDescent="0.2"/>
    <row r="141" s="34" customFormat="1" x14ac:dyDescent="0.2"/>
    <row r="142" s="34" customFormat="1" x14ac:dyDescent="0.2"/>
    <row r="143" s="34" customFormat="1" x14ac:dyDescent="0.2"/>
    <row r="144" s="34" customFormat="1" x14ac:dyDescent="0.2"/>
    <row r="145" s="34" customFormat="1" x14ac:dyDescent="0.2"/>
    <row r="146" s="34" customFormat="1" x14ac:dyDescent="0.2"/>
    <row r="147" s="34" customFormat="1" x14ac:dyDescent="0.2"/>
    <row r="148" s="34" customFormat="1" x14ac:dyDescent="0.2"/>
    <row r="149" s="34" customFormat="1" x14ac:dyDescent="0.2"/>
    <row r="150" s="34" customFormat="1" x14ac:dyDescent="0.2"/>
    <row r="151" s="34" customFormat="1" x14ac:dyDescent="0.2"/>
    <row r="152" s="34" customFormat="1" x14ac:dyDescent="0.2"/>
    <row r="153" s="34" customFormat="1" x14ac:dyDescent="0.2"/>
    <row r="154" s="34" customFormat="1" x14ac:dyDescent="0.2"/>
    <row r="155" s="34" customFormat="1" x14ac:dyDescent="0.2"/>
    <row r="156" s="34" customFormat="1" x14ac:dyDescent="0.2"/>
    <row r="157" s="34" customFormat="1" x14ac:dyDescent="0.2"/>
    <row r="158" s="34" customFormat="1" x14ac:dyDescent="0.2"/>
    <row r="159" s="34" customFormat="1" x14ac:dyDescent="0.2"/>
    <row r="160" s="34" customFormat="1" x14ac:dyDescent="0.2"/>
    <row r="161" spans="2:12" s="34" customFormat="1" x14ac:dyDescent="0.2"/>
    <row r="162" spans="2:12" s="34" customFormat="1" x14ac:dyDescent="0.2"/>
    <row r="163" spans="2:12" s="34" customFormat="1" x14ac:dyDescent="0.2"/>
    <row r="164" spans="2:12" s="34" customFormat="1" x14ac:dyDescent="0.2"/>
    <row r="165" spans="2:12" x14ac:dyDescent="0.2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2:12" x14ac:dyDescent="0.2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</row>
  </sheetData>
  <sheetProtection algorithmName="SHA-512" hashValue="ET/UUJGTl/d+WQfpMUPDPSOwcUuqhzlJ5KOGsMjwzBcOYZUVJ0YmRB1BsOZp7Ezl57XhXqL3Gg4m2o1rF7BkiA==" saltValue="VXX2BsZ+LfQmzbtA2s1Dkw==" spinCount="100000" sheet="1" objects="1" scenarios="1" selectLockedCells="1" selectUnlockedCells="1"/>
  <phoneticPr fontId="0" type="noConversion"/>
  <conditionalFormatting sqref="B5">
    <cfRule type="cellIs" dxfId="33" priority="29" stopIfTrue="1" operator="notBetween">
      <formula>20</formula>
      <formula>40</formula>
    </cfRule>
  </conditionalFormatting>
  <conditionalFormatting sqref="B52">
    <cfRule type="expression" dxfId="32" priority="169">
      <formula>OR(IF(B$39&gt;0,B$52&lt;=10,B$52&gt;30),B$52&lt;0)</formula>
    </cfRule>
  </conditionalFormatting>
  <conditionalFormatting sqref="B39:X39">
    <cfRule type="cellIs" dxfId="31" priority="5" operator="lessThan">
      <formula>0</formula>
    </cfRule>
    <cfRule type="cellIs" dxfId="30" priority="8" stopIfTrue="1" operator="lessThanOrEqual">
      <formula>5000</formula>
    </cfRule>
  </conditionalFormatting>
  <conditionalFormatting sqref="B50:X50">
    <cfRule type="cellIs" dxfId="29" priority="3" operator="greaterThan">
      <formula>"B50"</formula>
    </cfRule>
    <cfRule type="cellIs" dxfId="28" priority="4" operator="lessThanOrEqual">
      <formula>500</formula>
    </cfRule>
  </conditionalFormatting>
  <conditionalFormatting sqref="B51:X51">
    <cfRule type="cellIs" dxfId="27" priority="7" stopIfTrue="1" operator="greaterThanOrEqual">
      <formula>5000</formula>
    </cfRule>
  </conditionalFormatting>
  <conditionalFormatting sqref="B52:X52">
    <cfRule type="expression" dxfId="26" priority="170" stopIfTrue="1">
      <formula>B$39&lt;0</formula>
    </cfRule>
  </conditionalFormatting>
  <conditionalFormatting sqref="B53:X53">
    <cfRule type="cellIs" dxfId="25" priority="181" stopIfTrue="1" operator="greaterThan">
      <formula>$B$53</formula>
    </cfRule>
    <cfRule type="cellIs" dxfId="24" priority="182" stopIfTrue="1" operator="lessThanOrEqual">
      <formula>0.5</formula>
    </cfRule>
  </conditionalFormatting>
  <conditionalFormatting sqref="B54:X54">
    <cfRule type="cellIs" dxfId="23" priority="6" stopIfTrue="1" operator="greaterThanOrEqual">
      <formula>0.5</formula>
    </cfRule>
  </conditionalFormatting>
  <conditionalFormatting sqref="C52:F52 J52:X52">
    <cfRule type="expression" dxfId="22" priority="9">
      <formula>OR(IF(C$39&gt;0,C$52&lt;=10,C$52&gt;30),C$52="sofort")</formula>
    </cfRule>
  </conditionalFormatting>
  <conditionalFormatting sqref="G52:I52">
    <cfRule type="expression" dxfId="21" priority="202">
      <formula>OR(IF(G$39&gt;0,G$52&lt;=10,G$52&gt;30),G$52="sofort")</formula>
    </cfRule>
  </conditionalFormatting>
  <pageMargins left="0.39370078740157483" right="0.39370078740157483" top="0.59055118110236227" bottom="0.59055118110236227" header="0.51181102362204722" footer="0.51181102362204722"/>
  <pageSetup paperSize="9" scale="6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245F-F83A-4D04-B727-5395744EADEE}">
  <sheetPr>
    <pageSetUpPr fitToPage="1"/>
  </sheetPr>
  <dimension ref="A1:AX100"/>
  <sheetViews>
    <sheetView showGridLines="0" zoomScaleNormal="100" zoomScaleSheetLayoutView="98" workbookViewId="0">
      <pane xSplit="1" topLeftCell="B1" activePane="topRight" state="frozen"/>
      <selection pane="topRight" activeCell="B5" sqref="B5"/>
    </sheetView>
  </sheetViews>
  <sheetFormatPr baseColWidth="10" defaultRowHeight="12.75" x14ac:dyDescent="0.2"/>
  <cols>
    <col min="1" max="1" width="36.140625" customWidth="1"/>
    <col min="2" max="19" width="17.7109375" customWidth="1"/>
  </cols>
  <sheetData>
    <row r="1" spans="1:19" s="2" customFormat="1" ht="23.25" x14ac:dyDescent="0.35">
      <c r="A1" s="57" t="s">
        <v>102</v>
      </c>
      <c r="B1" s="2" t="s">
        <v>129</v>
      </c>
      <c r="C1"/>
      <c r="D1"/>
      <c r="E1"/>
      <c r="F1"/>
      <c r="G1"/>
      <c r="H1"/>
    </row>
    <row r="2" spans="1:19" s="2" customFormat="1" ht="23.25" x14ac:dyDescent="0.35">
      <c r="B2" s="58" t="s">
        <v>132</v>
      </c>
      <c r="C2"/>
      <c r="D2"/>
      <c r="E2"/>
      <c r="F2"/>
      <c r="G2" s="121"/>
      <c r="H2"/>
      <c r="I2"/>
      <c r="J2"/>
      <c r="K2"/>
      <c r="R2"/>
      <c r="S2"/>
    </row>
    <row r="3" spans="1:19" ht="24.95" customHeight="1" x14ac:dyDescent="0.2">
      <c r="B3" s="80" t="s">
        <v>130</v>
      </c>
      <c r="C3" s="81"/>
      <c r="D3" s="81"/>
      <c r="E3" s="81"/>
      <c r="G3" s="81"/>
      <c r="H3" s="81"/>
    </row>
    <row r="4" spans="1:19" x14ac:dyDescent="0.2">
      <c r="A4" s="152"/>
      <c r="B4" s="12"/>
      <c r="C4" s="12"/>
      <c r="D4" s="12"/>
      <c r="E4" s="12"/>
      <c r="F4" s="12"/>
      <c r="G4" s="12"/>
      <c r="H4" s="153" t="s">
        <v>134</v>
      </c>
      <c r="I4" s="154"/>
      <c r="J4" s="12"/>
      <c r="K4" s="12"/>
      <c r="L4" s="12"/>
      <c r="M4" s="12"/>
      <c r="N4" s="127"/>
    </row>
    <row r="5" spans="1:19" x14ac:dyDescent="0.2">
      <c r="A5" s="140" t="s">
        <v>118</v>
      </c>
      <c r="B5" s="41">
        <v>1000</v>
      </c>
      <c r="C5" s="139" t="s">
        <v>119</v>
      </c>
      <c r="D5" s="95" t="str">
        <f>IF(OR((B5&lt;400),(B5&gt;1400)),"Wert außerhalb","gültiger Wert")</f>
        <v>gültiger Wert</v>
      </c>
      <c r="E5" s="131"/>
      <c r="F5" s="132"/>
      <c r="G5" s="132"/>
      <c r="H5" s="155">
        <v>1000</v>
      </c>
      <c r="I5" s="155" t="s">
        <v>119</v>
      </c>
      <c r="J5" s="133"/>
      <c r="K5" s="134"/>
      <c r="L5" s="134"/>
      <c r="M5" s="157"/>
      <c r="N5" s="78"/>
    </row>
    <row r="6" spans="1:19" x14ac:dyDescent="0.2">
      <c r="A6" s="14" t="s">
        <v>133</v>
      </c>
      <c r="B6" s="41">
        <v>110</v>
      </c>
      <c r="C6" s="82" t="s">
        <v>53</v>
      </c>
      <c r="D6" s="95" t="str">
        <f>IF(OR((B6&lt;0),(B6&gt;120)),"Wert außerhalb","gültiger Wert")</f>
        <v>gültiger Wert</v>
      </c>
      <c r="E6" s="9"/>
      <c r="F6" s="9"/>
      <c r="G6" s="9"/>
      <c r="H6" s="155">
        <v>110</v>
      </c>
      <c r="I6" s="155" t="s">
        <v>53</v>
      </c>
      <c r="J6" s="77"/>
      <c r="K6" s="99"/>
      <c r="L6" s="99"/>
      <c r="M6" s="10"/>
      <c r="N6" s="78"/>
    </row>
    <row r="7" spans="1:19" x14ac:dyDescent="0.2">
      <c r="A7" s="14" t="s">
        <v>120</v>
      </c>
      <c r="B7" s="41">
        <v>100</v>
      </c>
      <c r="C7" s="82" t="s">
        <v>53</v>
      </c>
      <c r="D7" s="95" t="str">
        <f>IF(OR((B7&lt;0),(B7&gt;100)),"Wert außerhalb","gültiger Wert")</f>
        <v>gültiger Wert</v>
      </c>
      <c r="E7" s="9"/>
      <c r="F7" s="9"/>
      <c r="G7" s="9"/>
      <c r="H7" s="155">
        <v>100</v>
      </c>
      <c r="I7" s="155" t="s">
        <v>53</v>
      </c>
      <c r="J7" s="77"/>
      <c r="K7" s="99"/>
      <c r="L7" s="99"/>
      <c r="M7" s="10"/>
      <c r="N7" s="78"/>
    </row>
    <row r="8" spans="1:19" x14ac:dyDescent="0.2">
      <c r="A8" s="14" t="s">
        <v>121</v>
      </c>
      <c r="B8" s="41">
        <v>93</v>
      </c>
      <c r="C8" s="82" t="s">
        <v>53</v>
      </c>
      <c r="D8" s="95" t="str">
        <f>IF(OR((B8&lt;0),(B8&gt;100)),"Wert außerhalb","gültiger Wert")</f>
        <v>gültiger Wert</v>
      </c>
      <c r="E8" s="9"/>
      <c r="F8" s="9"/>
      <c r="G8" s="9"/>
      <c r="H8" s="155">
        <v>93</v>
      </c>
      <c r="I8" s="155" t="s">
        <v>53</v>
      </c>
      <c r="J8" s="77"/>
      <c r="K8" s="99"/>
      <c r="L8" s="99"/>
      <c r="M8" s="10"/>
      <c r="N8" s="78"/>
    </row>
    <row r="9" spans="1:19" x14ac:dyDescent="0.2">
      <c r="A9" s="14" t="s">
        <v>49</v>
      </c>
      <c r="B9" s="122">
        <f>10*ROUND(B5*B6*B7*B8*0.88/10000000,0)</f>
        <v>900</v>
      </c>
      <c r="C9" s="82" t="s">
        <v>50</v>
      </c>
      <c r="D9" s="95"/>
      <c r="E9" s="9"/>
      <c r="F9" s="9"/>
      <c r="G9" s="9"/>
      <c r="H9" s="155"/>
      <c r="I9" s="155"/>
      <c r="J9" s="77"/>
      <c r="K9" s="99"/>
      <c r="L9" s="99"/>
      <c r="M9" s="10"/>
      <c r="N9" s="98"/>
    </row>
    <row r="10" spans="1:19" x14ac:dyDescent="0.2">
      <c r="A10" s="14" t="s">
        <v>14</v>
      </c>
      <c r="B10" s="42">
        <v>40</v>
      </c>
      <c r="C10" s="93" t="s">
        <v>15</v>
      </c>
      <c r="D10" s="95" t="str">
        <f>IF(OR((B10&lt;10),(B10&gt;100)),"Wert prüfen","gültiger Wert")</f>
        <v>gültiger Wert</v>
      </c>
      <c r="E10" s="123" t="s">
        <v>57</v>
      </c>
      <c r="F10" s="124">
        <f>B10*((1-(1+B11/100)^20)/(-B11/100))/20</f>
        <v>44.03800798959341</v>
      </c>
      <c r="G10" s="94" t="s">
        <v>15</v>
      </c>
      <c r="H10" s="155">
        <v>40</v>
      </c>
      <c r="I10" s="155" t="s">
        <v>15</v>
      </c>
      <c r="J10" s="125" t="s">
        <v>74</v>
      </c>
      <c r="K10" s="126"/>
      <c r="L10" s="126"/>
      <c r="M10" s="153" t="s">
        <v>134</v>
      </c>
      <c r="N10" s="159"/>
      <c r="R10" s="5"/>
    </row>
    <row r="11" spans="1:19" x14ac:dyDescent="0.2">
      <c r="A11" s="14" t="s">
        <v>56</v>
      </c>
      <c r="B11" s="42">
        <v>1</v>
      </c>
      <c r="C11" s="94" t="s">
        <v>53</v>
      </c>
      <c r="D11" s="95" t="str">
        <f>IF(OR((B11&lt;0),(B11&gt;20)),"Wert prüfen","gültiger Wert")</f>
        <v>gültiger Wert</v>
      </c>
      <c r="E11" s="7"/>
      <c r="F11" s="7"/>
      <c r="G11" s="7"/>
      <c r="H11" s="156">
        <v>1</v>
      </c>
      <c r="I11" s="155" t="s">
        <v>53</v>
      </c>
      <c r="J11" s="128" t="s">
        <v>16</v>
      </c>
      <c r="K11" s="129">
        <v>0.56000000000000005</v>
      </c>
      <c r="L11" s="130" t="s">
        <v>17</v>
      </c>
      <c r="M11" s="160">
        <v>0.56000000000000005</v>
      </c>
      <c r="N11" s="161" t="s">
        <v>17</v>
      </c>
      <c r="O11" s="5"/>
      <c r="P11" s="4"/>
      <c r="Q11" s="5"/>
    </row>
    <row r="12" spans="1:19" x14ac:dyDescent="0.2">
      <c r="A12" s="14" t="s">
        <v>100</v>
      </c>
      <c r="B12" s="42">
        <v>8.1999999999999993</v>
      </c>
      <c r="C12" s="93" t="s">
        <v>15</v>
      </c>
      <c r="D12" s="95" t="str">
        <f>IF(OR((B12&lt;0),(B12&gt;100)),"Wert prüfen","gültiger Wert")</f>
        <v>gültiger Wert</v>
      </c>
      <c r="E12" s="9"/>
      <c r="F12" s="9"/>
      <c r="G12" s="9"/>
      <c r="H12" s="156">
        <v>8.1999999999999993</v>
      </c>
      <c r="I12" s="155" t="s">
        <v>15</v>
      </c>
      <c r="J12" s="77"/>
      <c r="K12" s="99"/>
      <c r="L12" s="99"/>
      <c r="M12" s="10"/>
      <c r="N12" s="135"/>
      <c r="O12" s="6"/>
      <c r="P12" s="5"/>
      <c r="Q12" s="4"/>
      <c r="R12" s="5"/>
    </row>
    <row r="13" spans="1:19" x14ac:dyDescent="0.2">
      <c r="A13" s="14" t="s">
        <v>99</v>
      </c>
      <c r="B13" s="42">
        <v>7.1</v>
      </c>
      <c r="C13" s="93" t="s">
        <v>15</v>
      </c>
      <c r="D13" s="95" t="str">
        <f>IF(OR((B13&lt;0),(B13&gt;100)),"Wert prüfen","gültiger Wert")</f>
        <v>gültiger Wert</v>
      </c>
      <c r="E13" s="8"/>
      <c r="F13" s="9"/>
      <c r="G13" s="9"/>
      <c r="H13" s="156">
        <v>7.1</v>
      </c>
      <c r="I13" s="155" t="s">
        <v>15</v>
      </c>
      <c r="J13" s="77"/>
      <c r="K13" s="99"/>
      <c r="L13" s="99"/>
      <c r="M13" s="10"/>
      <c r="N13" s="78"/>
      <c r="O13" s="6"/>
      <c r="P13" s="5"/>
      <c r="Q13" s="4"/>
      <c r="R13" s="5"/>
    </row>
    <row r="14" spans="1:19" x14ac:dyDescent="0.2">
      <c r="A14" s="14" t="s">
        <v>38</v>
      </c>
      <c r="B14" s="95"/>
      <c r="C14" s="95"/>
      <c r="D14" s="95"/>
      <c r="E14" s="8"/>
      <c r="F14" s="9"/>
      <c r="G14" s="9"/>
      <c r="H14" s="156"/>
      <c r="I14" s="155"/>
      <c r="J14" s="77"/>
      <c r="K14" s="99"/>
      <c r="L14" s="99"/>
      <c r="M14" s="10"/>
      <c r="N14" s="78"/>
      <c r="O14" s="6"/>
      <c r="P14" s="5"/>
      <c r="Q14" s="4"/>
      <c r="R14" s="5"/>
    </row>
    <row r="15" spans="1:19" x14ac:dyDescent="0.2">
      <c r="A15" s="14" t="s">
        <v>103</v>
      </c>
      <c r="B15" s="42">
        <v>13</v>
      </c>
      <c r="C15" s="110" t="s">
        <v>15</v>
      </c>
      <c r="D15" s="95" t="str">
        <f>IF(OR((B15&lt;0),(B15&gt;100)),"Wert prüfen","gültiger Wert")</f>
        <v>gültiger Wert</v>
      </c>
      <c r="E15" s="8"/>
      <c r="F15" s="9"/>
      <c r="G15" s="9"/>
      <c r="H15" s="156">
        <v>13</v>
      </c>
      <c r="I15" s="155" t="s">
        <v>15</v>
      </c>
      <c r="J15" s="77"/>
      <c r="K15" s="99"/>
      <c r="L15" s="99"/>
      <c r="M15" s="10"/>
      <c r="N15" s="78"/>
      <c r="O15" s="6"/>
      <c r="P15" s="5"/>
      <c r="Q15" s="4"/>
      <c r="R15" s="5"/>
    </row>
    <row r="16" spans="1:19" x14ac:dyDescent="0.2">
      <c r="A16" s="14" t="s">
        <v>38</v>
      </c>
      <c r="B16" s="95"/>
      <c r="C16" s="95"/>
      <c r="D16" s="95"/>
      <c r="E16" s="8"/>
      <c r="F16" s="9"/>
      <c r="G16" s="9"/>
      <c r="H16" s="156"/>
      <c r="I16" s="155"/>
      <c r="J16" s="77"/>
      <c r="K16" s="99"/>
      <c r="L16" s="99"/>
      <c r="M16" s="10"/>
      <c r="N16" s="78"/>
      <c r="O16" s="6"/>
      <c r="P16" s="5"/>
      <c r="Q16" s="4"/>
      <c r="R16" s="5"/>
    </row>
    <row r="17" spans="1:50" x14ac:dyDescent="0.2">
      <c r="A17" s="141" t="s">
        <v>101</v>
      </c>
      <c r="B17" s="42">
        <v>10.9</v>
      </c>
      <c r="C17" s="24" t="s">
        <v>15</v>
      </c>
      <c r="D17" s="93" t="str">
        <f>IF(OR((B17&lt;0),(B17&gt;100)),"Wert prüfen","gültiger Wert")</f>
        <v>gültiger Wert</v>
      </c>
      <c r="E17" s="136"/>
      <c r="F17" s="137"/>
      <c r="G17" s="137"/>
      <c r="H17" s="156">
        <v>10.9</v>
      </c>
      <c r="I17" s="155" t="s">
        <v>15</v>
      </c>
      <c r="J17" s="96"/>
      <c r="K17" s="97"/>
      <c r="L17" s="97"/>
      <c r="M17" s="158"/>
      <c r="N17" s="98"/>
      <c r="O17" s="6"/>
      <c r="P17" s="5"/>
      <c r="Q17" s="4"/>
      <c r="R17" s="6"/>
      <c r="S17" s="5"/>
    </row>
    <row r="18" spans="1:50" x14ac:dyDescent="0.2">
      <c r="A18" s="1"/>
      <c r="B18" s="1"/>
      <c r="C18" s="1"/>
      <c r="D18" s="1"/>
      <c r="F18" s="6"/>
      <c r="G18" s="3"/>
      <c r="H18" s="6"/>
      <c r="I18" s="3"/>
      <c r="J18" s="3"/>
      <c r="K18" s="3"/>
      <c r="L18" s="3"/>
      <c r="M18" s="3"/>
      <c r="N18" s="6"/>
      <c r="O18" s="4"/>
      <c r="P18" s="5"/>
      <c r="Q18" s="4"/>
      <c r="R18" s="3"/>
      <c r="S18" s="3"/>
    </row>
    <row r="19" spans="1:50" s="1" customFormat="1" x14ac:dyDescent="0.2">
      <c r="A19"/>
      <c r="B19" s="3"/>
      <c r="C19" s="3"/>
      <c r="D19" s="3"/>
      <c r="E19" s="6"/>
      <c r="F19" s="3"/>
      <c r="G19" s="6"/>
      <c r="H19" s="3"/>
      <c r="I19" s="3"/>
      <c r="J19" s="3"/>
      <c r="K19" s="3"/>
      <c r="L19" s="6"/>
      <c r="M19" s="6"/>
      <c r="N19" s="5"/>
    </row>
    <row r="20" spans="1:50" s="1" customFormat="1" x14ac:dyDescent="0.2">
      <c r="A20" s="60" t="s">
        <v>0</v>
      </c>
      <c r="B20" s="61" t="s">
        <v>62</v>
      </c>
      <c r="C20" s="62" t="s">
        <v>8</v>
      </c>
      <c r="D20" s="62" t="s">
        <v>18</v>
      </c>
      <c r="E20" s="62" t="s">
        <v>42</v>
      </c>
      <c r="F20" s="64" t="s">
        <v>46</v>
      </c>
      <c r="G20" s="62" t="s">
        <v>9</v>
      </c>
      <c r="H20" s="63" t="s">
        <v>10</v>
      </c>
      <c r="I20" s="65" t="s">
        <v>111</v>
      </c>
      <c r="J20" s="62" t="s">
        <v>63</v>
      </c>
      <c r="K20" s="62" t="s">
        <v>67</v>
      </c>
    </row>
    <row r="21" spans="1:50" s="1" customFormat="1" x14ac:dyDescent="0.2">
      <c r="A21" s="66"/>
      <c r="B21" s="20"/>
      <c r="C21" s="19" t="s">
        <v>5</v>
      </c>
      <c r="D21" s="19" t="s">
        <v>5</v>
      </c>
      <c r="E21" s="19" t="s">
        <v>5</v>
      </c>
      <c r="F21" s="21" t="s">
        <v>45</v>
      </c>
      <c r="G21" s="19" t="s">
        <v>122</v>
      </c>
      <c r="H21" s="21" t="s">
        <v>125</v>
      </c>
      <c r="I21" s="19" t="s">
        <v>125</v>
      </c>
      <c r="J21" s="19" t="s">
        <v>64</v>
      </c>
      <c r="K21" s="19" t="s">
        <v>64</v>
      </c>
    </row>
    <row r="22" spans="1:50" s="1" customFormat="1" x14ac:dyDescent="0.2">
      <c r="A22" s="66"/>
      <c r="B22" s="19"/>
      <c r="C22" s="19"/>
      <c r="D22" s="19"/>
      <c r="E22" s="19" t="s">
        <v>124</v>
      </c>
      <c r="F22" s="19"/>
      <c r="G22" s="19" t="s">
        <v>123</v>
      </c>
      <c r="H22" s="19" t="s">
        <v>123</v>
      </c>
      <c r="I22" s="19" t="s">
        <v>123</v>
      </c>
      <c r="J22" s="19"/>
      <c r="K22" s="19"/>
    </row>
    <row r="23" spans="1:50" s="1" customFormat="1" x14ac:dyDescent="0.2">
      <c r="A23" s="66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50" s="1" customFormat="1" x14ac:dyDescent="0.2">
      <c r="A24" s="66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50" s="1" customFormat="1" x14ac:dyDescent="0.2">
      <c r="A25" s="66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50" s="1" customFormat="1" x14ac:dyDescent="0.2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x14ac:dyDescent="0.2">
      <c r="A27" s="29" t="s">
        <v>54</v>
      </c>
      <c r="B27" s="114"/>
      <c r="C27" s="165">
        <v>4</v>
      </c>
      <c r="D27" s="165">
        <v>8</v>
      </c>
      <c r="E27" s="165">
        <v>8</v>
      </c>
      <c r="F27" s="165">
        <v>10</v>
      </c>
      <c r="G27" s="165">
        <v>4</v>
      </c>
      <c r="H27" s="165">
        <v>4</v>
      </c>
      <c r="I27" s="165">
        <v>10</v>
      </c>
      <c r="J27" s="179"/>
      <c r="K27" s="17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x14ac:dyDescent="0.2">
      <c r="A28" s="29" t="s">
        <v>37</v>
      </c>
      <c r="B28" s="114"/>
      <c r="C28" s="176">
        <f>IF(C27&gt;30,"Leistung zu hoch",IF(C27&lt;=10,$B$12,ROUND(100*(10*$B$12+(C27-10)*$B$13)/C27,2)/100))</f>
        <v>8.1999999999999993</v>
      </c>
      <c r="D28" s="176">
        <f>IF(D27&gt;30,"Leistung zu hoch",IF(D27&lt;=10,$B$12,ROUND(100*(10*$B$12+(D27-10)*$B$13)/D27,2)/100))</f>
        <v>8.1999999999999993</v>
      </c>
      <c r="E28" s="176">
        <f>IF(E27&gt;30,"Leistung zu hoch",IF(E27&lt;=10,$B$12,ROUND(100*(10*$B$12+(E27-10)*$B$13)/E27,2)/100))</f>
        <v>8.1999999999999993</v>
      </c>
      <c r="F28" s="176">
        <f>IF(F27&gt;30,"Leistung zu hoch",IF(F27&lt;=10,$B$15,ROUND(100*(10*$B$15+(F27-10)*$B$17)/F27,2)/100))</f>
        <v>13</v>
      </c>
      <c r="G28" s="176">
        <f t="shared" ref="G28:I28" si="0">IF(G27&gt;30,"Leistung zu hoch",IF(G27&lt;=10,$B$12,ROUND(100*(10*$B$12+(G27-10)*$B$13)/G27,2)/100))</f>
        <v>8.1999999999999993</v>
      </c>
      <c r="H28" s="176">
        <f t="shared" si="0"/>
        <v>8.1999999999999993</v>
      </c>
      <c r="I28" s="176">
        <f t="shared" si="0"/>
        <v>8.1999999999999993</v>
      </c>
      <c r="J28" s="179"/>
      <c r="K28" s="179"/>
      <c r="L28" s="3"/>
      <c r="M28" s="3"/>
      <c r="N28" s="3"/>
    </row>
    <row r="29" spans="1:50" s="1" customFormat="1" x14ac:dyDescent="0.2">
      <c r="A29" s="29" t="s">
        <v>55</v>
      </c>
      <c r="B29" s="114"/>
      <c r="C29" s="177"/>
      <c r="D29" s="176"/>
      <c r="E29" s="176"/>
      <c r="F29" s="176"/>
      <c r="G29" s="104">
        <v>4</v>
      </c>
      <c r="H29" s="104">
        <v>8</v>
      </c>
      <c r="I29" s="104">
        <v>8</v>
      </c>
      <c r="J29" s="177"/>
      <c r="K29" s="177"/>
    </row>
    <row r="30" spans="1:50" s="1" customFormat="1" x14ac:dyDescent="0.2">
      <c r="A30" s="29" t="s">
        <v>51</v>
      </c>
      <c r="B30" s="114"/>
      <c r="C30" s="105">
        <v>2000</v>
      </c>
      <c r="D30" s="105">
        <v>1660</v>
      </c>
      <c r="E30" s="105">
        <v>1660</v>
      </c>
      <c r="F30" s="105">
        <v>1500</v>
      </c>
      <c r="G30" s="105">
        <v>2000</v>
      </c>
      <c r="H30" s="105">
        <v>2000</v>
      </c>
      <c r="I30" s="105">
        <v>1500</v>
      </c>
      <c r="J30" s="180"/>
      <c r="K30" s="180"/>
    </row>
    <row r="31" spans="1:50" s="1" customFormat="1" x14ac:dyDescent="0.2">
      <c r="A31" s="29" t="s">
        <v>5</v>
      </c>
      <c r="B31" s="114"/>
      <c r="C31" s="114">
        <f>100*ROUND(C27*C30/100,0)</f>
        <v>8000</v>
      </c>
      <c r="D31" s="114">
        <f t="shared" ref="D31:I31" si="1">100*ROUND(D27*D30/100,0)</f>
        <v>13300</v>
      </c>
      <c r="E31" s="114">
        <f t="shared" si="1"/>
        <v>13300</v>
      </c>
      <c r="F31" s="114">
        <f t="shared" si="1"/>
        <v>15000</v>
      </c>
      <c r="G31" s="178">
        <f t="shared" si="1"/>
        <v>8000</v>
      </c>
      <c r="H31" s="178">
        <f t="shared" si="1"/>
        <v>8000</v>
      </c>
      <c r="I31" s="178">
        <f t="shared" si="1"/>
        <v>15000</v>
      </c>
      <c r="J31" s="178"/>
      <c r="K31" s="178"/>
    </row>
    <row r="32" spans="1:50" s="1" customFormat="1" x14ac:dyDescent="0.2">
      <c r="A32" s="29" t="s">
        <v>52</v>
      </c>
      <c r="B32" s="114"/>
      <c r="C32" s="114"/>
      <c r="D32" s="114"/>
      <c r="E32" s="114"/>
      <c r="F32" s="114"/>
      <c r="G32" s="106">
        <v>1400</v>
      </c>
      <c r="H32" s="106">
        <v>1100</v>
      </c>
      <c r="I32" s="106">
        <v>1100</v>
      </c>
      <c r="J32" s="181"/>
      <c r="K32" s="181"/>
    </row>
    <row r="33" spans="1:14" s="1" customFormat="1" x14ac:dyDescent="0.2">
      <c r="A33" s="29" t="s">
        <v>6</v>
      </c>
      <c r="B33" s="114"/>
      <c r="C33" s="114"/>
      <c r="D33" s="114"/>
      <c r="E33" s="114"/>
      <c r="F33" s="114"/>
      <c r="G33" s="178">
        <f>100*ROUND(G29*G32/100,0)</f>
        <v>5600</v>
      </c>
      <c r="H33" s="178">
        <f t="shared" ref="H33:I33" si="2">100*ROUND(H29*H32/100,0)</f>
        <v>8800</v>
      </c>
      <c r="I33" s="178">
        <f t="shared" si="2"/>
        <v>8800</v>
      </c>
      <c r="J33" s="178"/>
      <c r="K33" s="178"/>
    </row>
    <row r="34" spans="1:14" s="1" customFormat="1" x14ac:dyDescent="0.2">
      <c r="A34" s="29" t="s">
        <v>105</v>
      </c>
      <c r="B34" s="114"/>
      <c r="C34" s="114"/>
      <c r="D34" s="114"/>
      <c r="E34" s="114"/>
      <c r="F34" s="114"/>
      <c r="G34" s="178"/>
      <c r="H34" s="178"/>
      <c r="I34" s="178"/>
      <c r="J34" s="166">
        <v>0.3</v>
      </c>
      <c r="K34" s="166">
        <v>0.3</v>
      </c>
    </row>
    <row r="35" spans="1:14" s="103" customFormat="1" x14ac:dyDescent="0.2">
      <c r="A35" s="29" t="s">
        <v>106</v>
      </c>
      <c r="B35" s="114"/>
      <c r="C35" s="114"/>
      <c r="D35" s="114"/>
      <c r="E35" s="114"/>
      <c r="F35" s="114"/>
      <c r="G35" s="178"/>
      <c r="H35" s="178"/>
      <c r="I35" s="178"/>
      <c r="J35" s="167">
        <v>4</v>
      </c>
      <c r="K35" s="167">
        <v>6</v>
      </c>
      <c r="L35" s="1"/>
      <c r="M35" s="1"/>
      <c r="N35" s="1"/>
    </row>
    <row r="36" spans="1:14" s="103" customFormat="1" x14ac:dyDescent="0.2">
      <c r="A36" s="29" t="s">
        <v>107</v>
      </c>
      <c r="B36" s="114"/>
      <c r="C36" s="114"/>
      <c r="D36" s="114"/>
      <c r="E36" s="114"/>
      <c r="F36" s="114"/>
      <c r="G36" s="178"/>
      <c r="H36" s="178"/>
      <c r="I36" s="178"/>
      <c r="J36" s="115">
        <f xml:space="preserve"> 10 *ROUND(J34*38.3/J35^3,1)</f>
        <v>2</v>
      </c>
      <c r="K36" s="115">
        <f xml:space="preserve"> 10 *ROUND(K34*38.3/K35^3,1)</f>
        <v>1</v>
      </c>
    </row>
    <row r="37" spans="1:14" s="1" customFormat="1" x14ac:dyDescent="0.2">
      <c r="A37" s="29" t="s">
        <v>108</v>
      </c>
      <c r="B37" s="114"/>
      <c r="C37" s="114"/>
      <c r="D37" s="114"/>
      <c r="E37" s="114"/>
      <c r="F37" s="114"/>
      <c r="G37" s="178"/>
      <c r="H37" s="178"/>
      <c r="I37" s="178"/>
      <c r="J37" s="116">
        <f>8760/1728*J35^3</f>
        <v>324.44444444444446</v>
      </c>
      <c r="K37" s="116">
        <f>8760/1728*K35^3</f>
        <v>1095</v>
      </c>
      <c r="L37" s="103"/>
      <c r="M37" s="103"/>
      <c r="N37" s="103"/>
    </row>
    <row r="38" spans="1:14" s="1" customFormat="1" x14ac:dyDescent="0.2">
      <c r="A38" s="29" t="s">
        <v>69</v>
      </c>
      <c r="B38" s="114"/>
      <c r="C38" s="114"/>
      <c r="D38" s="114"/>
      <c r="E38" s="114"/>
      <c r="F38" s="114"/>
      <c r="G38" s="178"/>
      <c r="H38" s="178"/>
      <c r="I38" s="178"/>
      <c r="J38" s="35">
        <v>10000</v>
      </c>
      <c r="K38" s="35">
        <v>5000</v>
      </c>
    </row>
    <row r="39" spans="1:14" s="1" customFormat="1" x14ac:dyDescent="0.2">
      <c r="A39" s="29" t="s">
        <v>1</v>
      </c>
      <c r="B39" s="31"/>
      <c r="C39" s="31">
        <f t="shared" ref="C39:I39" si="3">C31+C33</f>
        <v>8000</v>
      </c>
      <c r="D39" s="31">
        <f>D31</f>
        <v>13300</v>
      </c>
      <c r="E39" s="31">
        <f t="shared" si="3"/>
        <v>13300</v>
      </c>
      <c r="F39" s="31">
        <f>F31+F33</f>
        <v>15000</v>
      </c>
      <c r="G39" s="31">
        <f t="shared" si="3"/>
        <v>13600</v>
      </c>
      <c r="H39" s="31">
        <f t="shared" si="3"/>
        <v>16800</v>
      </c>
      <c r="I39" s="31">
        <f t="shared" si="3"/>
        <v>23800</v>
      </c>
      <c r="J39" s="31">
        <f>J38</f>
        <v>10000</v>
      </c>
      <c r="K39" s="31">
        <f>K38</f>
        <v>5000</v>
      </c>
    </row>
    <row r="40" spans="1:14" s="1" customFormat="1" x14ac:dyDescent="0.2">
      <c r="A40" s="29" t="s">
        <v>73</v>
      </c>
      <c r="B40" s="114"/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</row>
    <row r="41" spans="1:14" x14ac:dyDescent="0.2">
      <c r="A41" s="29" t="s">
        <v>136</v>
      </c>
      <c r="B41" s="114"/>
      <c r="C41" s="35"/>
      <c r="D41" s="35"/>
      <c r="E41" s="35"/>
      <c r="F41" s="35"/>
      <c r="G41" s="35"/>
      <c r="H41" s="35"/>
      <c r="I41" s="35"/>
      <c r="J41" s="35"/>
      <c r="K41" s="35"/>
      <c r="L41" s="1"/>
      <c r="M41" s="1"/>
      <c r="N41" s="1"/>
    </row>
    <row r="42" spans="1:14" x14ac:dyDescent="0.2">
      <c r="A42" s="29" t="s">
        <v>4</v>
      </c>
      <c r="B42" s="31"/>
      <c r="C42" s="31">
        <f>C40+C41</f>
        <v>0</v>
      </c>
      <c r="D42" s="31">
        <f>D40+D41</f>
        <v>0</v>
      </c>
      <c r="E42" s="31">
        <f>E40+E41</f>
        <v>0</v>
      </c>
      <c r="F42" s="31">
        <f>F40+F41</f>
        <v>0</v>
      </c>
      <c r="G42" s="31">
        <f t="shared" ref="G42:K42" si="4">G40+G41</f>
        <v>0</v>
      </c>
      <c r="H42" s="31">
        <f t="shared" si="4"/>
        <v>0</v>
      </c>
      <c r="I42" s="31">
        <f t="shared" si="4"/>
        <v>0</v>
      </c>
      <c r="J42" s="31">
        <f t="shared" si="4"/>
        <v>0</v>
      </c>
      <c r="K42" s="31">
        <f t="shared" si="4"/>
        <v>0</v>
      </c>
    </row>
    <row r="43" spans="1:14" x14ac:dyDescent="0.2">
      <c r="A43" s="29" t="s">
        <v>7</v>
      </c>
      <c r="B43" s="114">
        <f t="shared" ref="B43:K43" si="5">B39-B42</f>
        <v>0</v>
      </c>
      <c r="C43" s="114">
        <f t="shared" si="5"/>
        <v>8000</v>
      </c>
      <c r="D43" s="114">
        <f t="shared" ref="D43" si="6">D39-D42</f>
        <v>13300</v>
      </c>
      <c r="E43" s="114">
        <f t="shared" ref="E43" si="7">E39-E42</f>
        <v>13300</v>
      </c>
      <c r="F43" s="114">
        <f>F39-F42</f>
        <v>15000</v>
      </c>
      <c r="G43" s="114">
        <f t="shared" si="5"/>
        <v>13600</v>
      </c>
      <c r="H43" s="114">
        <f t="shared" si="5"/>
        <v>16800</v>
      </c>
      <c r="I43" s="114">
        <f t="shared" si="5"/>
        <v>23800</v>
      </c>
      <c r="J43" s="114">
        <f t="shared" si="5"/>
        <v>10000</v>
      </c>
      <c r="K43" s="114">
        <f t="shared" si="5"/>
        <v>5000</v>
      </c>
    </row>
    <row r="44" spans="1:14" x14ac:dyDescent="0.2">
      <c r="A44" s="29" t="s">
        <v>19</v>
      </c>
      <c r="B44" s="168">
        <v>0</v>
      </c>
      <c r="C44" s="168">
        <f t="shared" ref="C44:K44" si="8">C43-$B$43</f>
        <v>8000</v>
      </c>
      <c r="D44" s="168">
        <f t="shared" ref="D44" si="9">D43-$B$43</f>
        <v>13300</v>
      </c>
      <c r="E44" s="168">
        <f t="shared" ref="E44" si="10">E43-$B$43</f>
        <v>13300</v>
      </c>
      <c r="F44" s="168">
        <f>F43-$B$43</f>
        <v>15000</v>
      </c>
      <c r="G44" s="168">
        <f t="shared" si="8"/>
        <v>13600</v>
      </c>
      <c r="H44" s="168">
        <f t="shared" si="8"/>
        <v>16800</v>
      </c>
      <c r="I44" s="168">
        <f t="shared" si="8"/>
        <v>23800</v>
      </c>
      <c r="J44" s="168">
        <f t="shared" si="8"/>
        <v>10000</v>
      </c>
      <c r="K44" s="168">
        <f t="shared" si="8"/>
        <v>5000</v>
      </c>
    </row>
    <row r="45" spans="1:14" x14ac:dyDescent="0.2">
      <c r="A45" s="29" t="s">
        <v>20</v>
      </c>
      <c r="B45" s="107">
        <v>4000</v>
      </c>
      <c r="C45" s="30">
        <f>B45</f>
        <v>4000</v>
      </c>
      <c r="D45" s="30">
        <f t="shared" ref="D45:K45" si="11">C45</f>
        <v>4000</v>
      </c>
      <c r="E45" s="30">
        <f t="shared" si="11"/>
        <v>4000</v>
      </c>
      <c r="F45" s="30">
        <f t="shared" si="11"/>
        <v>4000</v>
      </c>
      <c r="G45" s="30">
        <f t="shared" si="11"/>
        <v>4000</v>
      </c>
      <c r="H45" s="30">
        <f t="shared" si="11"/>
        <v>4000</v>
      </c>
      <c r="I45" s="30">
        <f t="shared" si="11"/>
        <v>4000</v>
      </c>
      <c r="J45" s="30">
        <f t="shared" si="11"/>
        <v>4000</v>
      </c>
      <c r="K45" s="30">
        <f t="shared" si="11"/>
        <v>4000</v>
      </c>
    </row>
    <row r="46" spans="1:14" x14ac:dyDescent="0.2">
      <c r="A46" s="29" t="s">
        <v>13</v>
      </c>
      <c r="B46" s="30">
        <f>B45</f>
        <v>4000</v>
      </c>
      <c r="C46" s="30">
        <f t="shared" ref="C46:K46" si="12">C45</f>
        <v>4000</v>
      </c>
      <c r="D46" s="30">
        <f t="shared" ref="D46" si="13">D45</f>
        <v>4000</v>
      </c>
      <c r="E46" s="30">
        <f t="shared" si="12"/>
        <v>4000</v>
      </c>
      <c r="F46" s="30">
        <f>F45</f>
        <v>4000</v>
      </c>
      <c r="G46" s="30">
        <f t="shared" si="12"/>
        <v>4000</v>
      </c>
      <c r="H46" s="30">
        <f t="shared" si="12"/>
        <v>4000</v>
      </c>
      <c r="I46" s="30">
        <f t="shared" si="12"/>
        <v>4000</v>
      </c>
      <c r="J46" s="30">
        <f t="shared" si="12"/>
        <v>4000</v>
      </c>
      <c r="K46" s="30">
        <f t="shared" si="12"/>
        <v>4000</v>
      </c>
    </row>
    <row r="47" spans="1:14" x14ac:dyDescent="0.2">
      <c r="A47" s="29" t="s">
        <v>21</v>
      </c>
      <c r="B47" s="31">
        <f t="shared" ref="B47:K47" si="14">10*ROUNDUP((+B45*$F$10)/1000,0)</f>
        <v>1770</v>
      </c>
      <c r="C47" s="31">
        <f t="shared" si="14"/>
        <v>1770</v>
      </c>
      <c r="D47" s="31">
        <f t="shared" si="14"/>
        <v>1770</v>
      </c>
      <c r="E47" s="31">
        <f t="shared" si="14"/>
        <v>1770</v>
      </c>
      <c r="F47" s="31">
        <f t="shared" si="14"/>
        <v>1770</v>
      </c>
      <c r="G47" s="31">
        <f t="shared" si="14"/>
        <v>1770</v>
      </c>
      <c r="H47" s="31">
        <f t="shared" si="14"/>
        <v>1770</v>
      </c>
      <c r="I47" s="31">
        <f t="shared" si="14"/>
        <v>1770</v>
      </c>
      <c r="J47" s="31">
        <f t="shared" si="14"/>
        <v>1770</v>
      </c>
      <c r="K47" s="31">
        <f t="shared" si="14"/>
        <v>1770</v>
      </c>
    </row>
    <row r="48" spans="1:14" x14ac:dyDescent="0.2">
      <c r="A48" s="29" t="s">
        <v>22</v>
      </c>
      <c r="B48" s="30">
        <v>0</v>
      </c>
      <c r="C48" s="30">
        <f>10*ROUND(C27*$B$9/10,0)</f>
        <v>3600</v>
      </c>
      <c r="D48" s="30">
        <f t="shared" ref="D48:I48" si="15">10*ROUND(D27*$B$9/10,0)</f>
        <v>7200</v>
      </c>
      <c r="E48" s="30">
        <f>10*ROUND(E27*$B$9*0.85/10,0)</f>
        <v>6120</v>
      </c>
      <c r="F48" s="30">
        <f t="shared" si="15"/>
        <v>9000</v>
      </c>
      <c r="G48" s="30">
        <f t="shared" si="15"/>
        <v>3600</v>
      </c>
      <c r="H48" s="30">
        <f t="shared" si="15"/>
        <v>3600</v>
      </c>
      <c r="I48" s="30">
        <f t="shared" si="15"/>
        <v>9000</v>
      </c>
      <c r="J48" s="30">
        <f>10 *ROUND(J36*J37/10,0)</f>
        <v>650</v>
      </c>
      <c r="K48" s="30">
        <f>10 *ROUND(K36*K37/10,0)</f>
        <v>1100</v>
      </c>
    </row>
    <row r="49" spans="1:14" x14ac:dyDescent="0.2">
      <c r="A49" s="29" t="s">
        <v>23</v>
      </c>
      <c r="B49" s="30">
        <v>0</v>
      </c>
      <c r="C49" s="30">
        <f>IF(100*ROUND((C$97/100),0)&gt;0.95*C45,0.95*C45,100*ROUND((C$97/100),0))</f>
        <v>1200</v>
      </c>
      <c r="D49" s="30">
        <f>IF(100*ROUND((D$97/100),0)&gt;0.95*D45,0.95*D45,100*ROUND((D$97/100),0))</f>
        <v>1400</v>
      </c>
      <c r="E49" s="30">
        <f>IF(100*ROUND((1.3*E$97/100),0)&gt;0.95*E45,0.95*E45,100*ROUND((1.3*E$97/100),0))</f>
        <v>1700</v>
      </c>
      <c r="F49" s="30">
        <v>0</v>
      </c>
      <c r="G49" s="30">
        <f t="shared" ref="G49:H49" si="16">IF(100*ROUND((G$97/100),0)&gt;0.95*G45,0.95*G45,100*ROUND((G$97/100),0))</f>
        <v>2100</v>
      </c>
      <c r="H49" s="30">
        <f t="shared" si="16"/>
        <v>2300</v>
      </c>
      <c r="I49" s="30">
        <f>IF(100*ROUND((I$97/100),0)&gt;0.95*I45,0.95*I45,100*ROUND((I$97/100),0))</f>
        <v>2800</v>
      </c>
      <c r="J49" s="30">
        <f>10*ROUND(0.08*J48,0)</f>
        <v>520</v>
      </c>
      <c r="K49" s="30">
        <f>10*ROUND(0.08*K48,0)</f>
        <v>880</v>
      </c>
    </row>
    <row r="50" spans="1:14" x14ac:dyDescent="0.2">
      <c r="A50" s="29" t="s">
        <v>59</v>
      </c>
      <c r="B50" s="30"/>
      <c r="C50" s="30"/>
      <c r="D50" s="30"/>
      <c r="E50" s="30"/>
      <c r="F50" s="30"/>
      <c r="G50" s="30">
        <f t="shared" ref="G50:I50" si="17">10*ROUND(G96/10,0)</f>
        <v>230</v>
      </c>
      <c r="H50" s="30">
        <f t="shared" si="17"/>
        <v>290</v>
      </c>
      <c r="I50" s="30">
        <f t="shared" si="17"/>
        <v>340</v>
      </c>
      <c r="J50" s="30"/>
      <c r="K50" s="30"/>
    </row>
    <row r="51" spans="1:14" x14ac:dyDescent="0.2">
      <c r="A51" s="29" t="s">
        <v>24</v>
      </c>
      <c r="B51" s="31"/>
      <c r="C51" s="31">
        <f t="shared" ref="C51:I51" si="18">10*ROUND(((C48-C49-C50)*C28/100+C49*$F$10/100)/10,0)</f>
        <v>730</v>
      </c>
      <c r="D51" s="31">
        <f t="shared" si="18"/>
        <v>1090</v>
      </c>
      <c r="E51" s="31">
        <f t="shared" si="18"/>
        <v>1110</v>
      </c>
      <c r="F51" s="31">
        <f t="shared" si="18"/>
        <v>1170</v>
      </c>
      <c r="G51" s="31">
        <f t="shared" si="18"/>
        <v>1030</v>
      </c>
      <c r="H51" s="31">
        <f t="shared" si="18"/>
        <v>1100</v>
      </c>
      <c r="I51" s="31">
        <f t="shared" si="18"/>
        <v>1710</v>
      </c>
      <c r="J51" s="31">
        <f>10*ROUND(((J48-J49-J50)*0/100+J49*$F$10/100)/10,0)</f>
        <v>230</v>
      </c>
      <c r="K51" s="31">
        <f>10*ROUND(((K48-K49-K50)*0/100+K49*$F$10/100)/10,0)</f>
        <v>390</v>
      </c>
    </row>
    <row r="52" spans="1:14" x14ac:dyDescent="0.2">
      <c r="A52" s="29" t="s">
        <v>25</v>
      </c>
      <c r="B52" s="31">
        <f>10*ROUND(B43*B54/10,0)</f>
        <v>0</v>
      </c>
      <c r="C52" s="31">
        <f t="shared" ref="C52:I52" si="19">ROUNDDOWN((C27/2),0)*10+150</f>
        <v>170</v>
      </c>
      <c r="D52" s="31">
        <f t="shared" ref="D52" si="20">ROUNDDOWN((D27/2),0)*10+150</f>
        <v>190</v>
      </c>
      <c r="E52" s="31">
        <f t="shared" si="19"/>
        <v>190</v>
      </c>
      <c r="F52" s="31">
        <f>ROUNDDOWN((F27/2),0)*10+150</f>
        <v>200</v>
      </c>
      <c r="G52" s="31">
        <f t="shared" si="19"/>
        <v>170</v>
      </c>
      <c r="H52" s="31">
        <f t="shared" si="19"/>
        <v>170</v>
      </c>
      <c r="I52" s="31">
        <f t="shared" si="19"/>
        <v>200</v>
      </c>
      <c r="J52" s="31">
        <v>120</v>
      </c>
      <c r="K52" s="31">
        <v>120</v>
      </c>
    </row>
    <row r="53" spans="1:14" x14ac:dyDescent="0.2">
      <c r="A53" s="29" t="s">
        <v>58</v>
      </c>
      <c r="B53" s="31"/>
      <c r="C53" s="31"/>
      <c r="D53" s="31"/>
      <c r="E53" s="31"/>
      <c r="F53" s="31"/>
      <c r="G53" s="31">
        <f t="shared" ref="G53:I53" si="21">10*ROUND(G33/400,0)</f>
        <v>140</v>
      </c>
      <c r="H53" s="31">
        <f t="shared" si="21"/>
        <v>220</v>
      </c>
      <c r="I53" s="31">
        <f t="shared" si="21"/>
        <v>220</v>
      </c>
      <c r="J53" s="31"/>
      <c r="K53" s="31"/>
    </row>
    <row r="54" spans="1:14" x14ac:dyDescent="0.2">
      <c r="A54" s="29" t="s">
        <v>60</v>
      </c>
      <c r="B54" s="31"/>
      <c r="C54" s="35"/>
      <c r="D54" s="35"/>
      <c r="E54" s="35"/>
      <c r="F54" s="35"/>
      <c r="G54" s="35"/>
      <c r="H54" s="35"/>
      <c r="I54" s="35"/>
      <c r="J54" s="35"/>
      <c r="K54" s="35"/>
    </row>
    <row r="55" spans="1:14" x14ac:dyDescent="0.2">
      <c r="A55" s="29" t="s">
        <v>26</v>
      </c>
      <c r="B55" s="169">
        <f>B47+B52+B53+B54-B51</f>
        <v>1770</v>
      </c>
      <c r="C55" s="169">
        <f t="shared" ref="C55:K55" si="22">C47+C52+C53+C54-C51</f>
        <v>1210</v>
      </c>
      <c r="D55" s="169">
        <f t="shared" ref="D55" si="23">D47+D52+D53+D54-D51</f>
        <v>870</v>
      </c>
      <c r="E55" s="169">
        <f t="shared" si="22"/>
        <v>850</v>
      </c>
      <c r="F55" s="169">
        <f>F47+F52+F53+F54-F51</f>
        <v>800</v>
      </c>
      <c r="G55" s="169">
        <f t="shared" si="22"/>
        <v>1050</v>
      </c>
      <c r="H55" s="169">
        <f t="shared" si="22"/>
        <v>1060</v>
      </c>
      <c r="I55" s="169">
        <f t="shared" si="22"/>
        <v>480</v>
      </c>
      <c r="J55" s="169">
        <f t="shared" si="22"/>
        <v>1660</v>
      </c>
      <c r="K55" s="169">
        <f t="shared" si="22"/>
        <v>1500</v>
      </c>
      <c r="N55" s="79">
        <f>$B$55</f>
        <v>1770</v>
      </c>
    </row>
    <row r="56" spans="1:14" x14ac:dyDescent="0.2">
      <c r="A56" s="29" t="s">
        <v>2</v>
      </c>
      <c r="B56" s="170">
        <v>0</v>
      </c>
      <c r="C56" s="170">
        <f t="shared" ref="C56:K56" si="24">-C44-20*(C55-C47)</f>
        <v>3200</v>
      </c>
      <c r="D56" s="170">
        <f t="shared" ref="D56" si="25">-D44-20*(D55-D47)</f>
        <v>4700</v>
      </c>
      <c r="E56" s="170">
        <f t="shared" si="24"/>
        <v>5100</v>
      </c>
      <c r="F56" s="170">
        <f>-F44-20*(F55-F47)</f>
        <v>4400</v>
      </c>
      <c r="G56" s="170">
        <f t="shared" si="24"/>
        <v>800</v>
      </c>
      <c r="H56" s="170">
        <f t="shared" si="24"/>
        <v>-2600</v>
      </c>
      <c r="I56" s="170">
        <f t="shared" si="24"/>
        <v>2000</v>
      </c>
      <c r="J56" s="170">
        <f t="shared" si="24"/>
        <v>-7800</v>
      </c>
      <c r="K56" s="170">
        <f t="shared" si="24"/>
        <v>400</v>
      </c>
    </row>
    <row r="57" spans="1:14" x14ac:dyDescent="0.2">
      <c r="A57" s="29" t="s">
        <v>11</v>
      </c>
      <c r="B57" s="171"/>
      <c r="C57" s="172">
        <f>IF(((C47-C55)=0),IF((C44&lt;0),"sofort","nie"),IF((C44/(C47-C55)&lt;0),IF((C44&lt;0),"sofort","nie"),C44/(C47-C55)))</f>
        <v>14.285714285714286</v>
      </c>
      <c r="D57" s="172">
        <f t="shared" ref="D57:K57" si="26">IF(((D47-D55)=0),IF((D44&lt;0),"sofort","nie"),IF((D44/(D47-D55)&lt;0),IF((D44&lt;0),"sofort","nie"),D44/(D47-D55)))</f>
        <v>14.777777777777779</v>
      </c>
      <c r="E57" s="172">
        <f t="shared" si="26"/>
        <v>14.456521739130435</v>
      </c>
      <c r="F57" s="172">
        <f t="shared" si="26"/>
        <v>15.463917525773196</v>
      </c>
      <c r="G57" s="172">
        <f t="shared" si="26"/>
        <v>18.888888888888889</v>
      </c>
      <c r="H57" s="172">
        <f t="shared" si="26"/>
        <v>23.661971830985916</v>
      </c>
      <c r="I57" s="172">
        <f t="shared" si="26"/>
        <v>18.449612403100776</v>
      </c>
      <c r="J57" s="172">
        <f t="shared" si="26"/>
        <v>90.909090909090907</v>
      </c>
      <c r="K57" s="172">
        <f t="shared" si="26"/>
        <v>18.518518518518519</v>
      </c>
    </row>
    <row r="58" spans="1:14" x14ac:dyDescent="0.2">
      <c r="A58" s="29" t="s">
        <v>12</v>
      </c>
      <c r="B58" s="173">
        <f t="shared" ref="B58:K58" si="27">ROUND(((B45-B48+B50)*$K$11)/1000,1)</f>
        <v>2.2000000000000002</v>
      </c>
      <c r="C58" s="173">
        <f t="shared" si="27"/>
        <v>0.2</v>
      </c>
      <c r="D58" s="173">
        <f t="shared" si="27"/>
        <v>-1.8</v>
      </c>
      <c r="E58" s="173">
        <f t="shared" si="27"/>
        <v>-1.2</v>
      </c>
      <c r="F58" s="173">
        <f t="shared" si="27"/>
        <v>-2.8</v>
      </c>
      <c r="G58" s="173">
        <f t="shared" si="27"/>
        <v>0.4</v>
      </c>
      <c r="H58" s="173">
        <f t="shared" si="27"/>
        <v>0.4</v>
      </c>
      <c r="I58" s="173">
        <f t="shared" si="27"/>
        <v>-2.6</v>
      </c>
      <c r="J58" s="173">
        <f t="shared" si="27"/>
        <v>1.9</v>
      </c>
      <c r="K58" s="173">
        <f t="shared" si="27"/>
        <v>1.6</v>
      </c>
    </row>
    <row r="59" spans="1:14" x14ac:dyDescent="0.2">
      <c r="A59" s="174" t="s">
        <v>3</v>
      </c>
      <c r="B59" s="175">
        <f t="shared" ref="B59:K59" si="28">B49/B45</f>
        <v>0</v>
      </c>
      <c r="C59" s="175">
        <f t="shared" si="28"/>
        <v>0.3</v>
      </c>
      <c r="D59" s="175">
        <f t="shared" ref="D59" si="29">D49/D45</f>
        <v>0.35</v>
      </c>
      <c r="E59" s="175">
        <f t="shared" si="28"/>
        <v>0.42499999999999999</v>
      </c>
      <c r="F59" s="175">
        <f>F49/F45</f>
        <v>0</v>
      </c>
      <c r="G59" s="175">
        <f t="shared" si="28"/>
        <v>0.52500000000000002</v>
      </c>
      <c r="H59" s="175">
        <f t="shared" si="28"/>
        <v>0.57499999999999996</v>
      </c>
      <c r="I59" s="175">
        <f t="shared" si="28"/>
        <v>0.7</v>
      </c>
      <c r="J59" s="175">
        <f t="shared" si="28"/>
        <v>0.13</v>
      </c>
      <c r="K59" s="175">
        <f t="shared" si="28"/>
        <v>0.22</v>
      </c>
    </row>
    <row r="60" spans="1:14" x14ac:dyDescent="0.2">
      <c r="G60" s="6"/>
      <c r="H60" s="6"/>
    </row>
    <row r="61" spans="1:14" x14ac:dyDescent="0.2">
      <c r="B61" s="52"/>
      <c r="C61" s="43" t="s">
        <v>70</v>
      </c>
      <c r="D61" s="43"/>
      <c r="E61" s="44"/>
      <c r="F61" s="53"/>
      <c r="G61" s="54" t="s">
        <v>32</v>
      </c>
      <c r="H61" s="44"/>
      <c r="I61" s="44"/>
      <c r="J61" s="44"/>
      <c r="K61" s="45"/>
    </row>
    <row r="62" spans="1:14" x14ac:dyDescent="0.2">
      <c r="B62" s="75"/>
      <c r="C62" s="34" t="s">
        <v>71</v>
      </c>
      <c r="D62" s="34"/>
      <c r="F62" s="36"/>
      <c r="G62" t="s">
        <v>27</v>
      </c>
      <c r="K62" s="47"/>
    </row>
    <row r="63" spans="1:14" x14ac:dyDescent="0.2">
      <c r="B63" s="55"/>
      <c r="C63" s="34" t="s">
        <v>72</v>
      </c>
      <c r="D63" s="34"/>
      <c r="F63" s="37"/>
      <c r="G63" t="s">
        <v>28</v>
      </c>
      <c r="K63" s="47"/>
    </row>
    <row r="64" spans="1:14" x14ac:dyDescent="0.2">
      <c r="B64" s="56"/>
      <c r="C64" s="50" t="s">
        <v>29</v>
      </c>
      <c r="D64" s="50"/>
      <c r="E64" s="50"/>
      <c r="F64" s="50"/>
      <c r="G64" s="50"/>
      <c r="H64" s="50"/>
      <c r="I64" s="50"/>
      <c r="J64" s="50"/>
      <c r="K64" s="51"/>
    </row>
    <row r="66" spans="1:18" x14ac:dyDescent="0.2">
      <c r="B66" s="162"/>
      <c r="C66" s="43" t="s">
        <v>135</v>
      </c>
      <c r="D66" s="43"/>
      <c r="E66" s="44"/>
      <c r="F66" s="45"/>
      <c r="H66" s="103"/>
      <c r="I66" s="102"/>
    </row>
    <row r="67" spans="1:18" x14ac:dyDescent="0.2">
      <c r="B67" s="46" t="s">
        <v>30</v>
      </c>
      <c r="C67" s="34" t="s">
        <v>33</v>
      </c>
      <c r="D67" s="34"/>
      <c r="F67" s="47"/>
      <c r="G67" s="101"/>
      <c r="H67" s="101"/>
      <c r="I67" s="102"/>
    </row>
    <row r="68" spans="1:18" x14ac:dyDescent="0.2">
      <c r="B68" s="48" t="s">
        <v>31</v>
      </c>
      <c r="C68" s="49" t="s">
        <v>34</v>
      </c>
      <c r="D68" s="49"/>
      <c r="E68" s="50"/>
      <c r="F68" s="51"/>
      <c r="G68" s="101"/>
      <c r="H68" s="101"/>
      <c r="I68" s="102"/>
    </row>
    <row r="69" spans="1:18" s="34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8" s="34" customFormat="1" x14ac:dyDescent="0.2"/>
    <row r="71" spans="1:18" s="34" customFormat="1" x14ac:dyDescent="0.2">
      <c r="O71" s="119"/>
      <c r="P71" s="119"/>
      <c r="Q71" s="119"/>
      <c r="R71" s="119"/>
    </row>
    <row r="72" spans="1:18" s="34" customFormat="1" x14ac:dyDescent="0.2">
      <c r="A72" s="146" t="s">
        <v>75</v>
      </c>
      <c r="B72" s="147">
        <f>B$27</f>
        <v>0</v>
      </c>
      <c r="C72" s="147">
        <f t="shared" ref="C72:H72" si="30">C$27</f>
        <v>4</v>
      </c>
      <c r="D72" s="147">
        <f t="shared" si="30"/>
        <v>8</v>
      </c>
      <c r="E72" s="147">
        <f t="shared" si="30"/>
        <v>8</v>
      </c>
      <c r="F72" s="147">
        <f>F$27</f>
        <v>10</v>
      </c>
      <c r="G72" s="147">
        <f t="shared" si="30"/>
        <v>4</v>
      </c>
      <c r="H72" s="147">
        <f t="shared" si="30"/>
        <v>4</v>
      </c>
      <c r="I72" s="147">
        <f>I$27</f>
        <v>10</v>
      </c>
      <c r="J72" s="147">
        <f>J$27</f>
        <v>0</v>
      </c>
      <c r="K72" s="147">
        <f>K$27</f>
        <v>0</v>
      </c>
      <c r="L72" s="119"/>
      <c r="M72" s="119"/>
      <c r="N72" s="119"/>
      <c r="O72" s="120"/>
      <c r="P72" s="120"/>
      <c r="Q72" s="120"/>
      <c r="R72" s="120"/>
    </row>
    <row r="73" spans="1:18" s="34" customFormat="1" x14ac:dyDescent="0.2">
      <c r="A73" s="146" t="s">
        <v>76</v>
      </c>
      <c r="B73" s="146">
        <v>900</v>
      </c>
      <c r="C73" s="148">
        <f>$B$9</f>
        <v>900</v>
      </c>
      <c r="D73" s="148">
        <f>$B$9</f>
        <v>900</v>
      </c>
      <c r="E73" s="148">
        <f>$B$9</f>
        <v>900</v>
      </c>
      <c r="F73" s="148">
        <f t="shared" ref="F73:K73" si="31">$B$9</f>
        <v>900</v>
      </c>
      <c r="G73" s="148">
        <f t="shared" si="31"/>
        <v>900</v>
      </c>
      <c r="H73" s="148">
        <f t="shared" si="31"/>
        <v>900</v>
      </c>
      <c r="I73" s="148">
        <f t="shared" si="31"/>
        <v>900</v>
      </c>
      <c r="J73" s="148">
        <f t="shared" si="31"/>
        <v>900</v>
      </c>
      <c r="K73" s="148">
        <f t="shared" si="31"/>
        <v>900</v>
      </c>
      <c r="L73" s="120"/>
      <c r="M73" s="120"/>
      <c r="N73" s="120"/>
    </row>
    <row r="74" spans="1:18" s="34" customFormat="1" x14ac:dyDescent="0.2">
      <c r="A74" s="146" t="s">
        <v>77</v>
      </c>
      <c r="B74" s="146">
        <f>B$72*B$73</f>
        <v>0</v>
      </c>
      <c r="C74" s="146">
        <f t="shared" ref="C74:H74" si="32">C$72*C$73</f>
        <v>3600</v>
      </c>
      <c r="D74" s="146">
        <f t="shared" si="32"/>
        <v>7200</v>
      </c>
      <c r="E74" s="146">
        <f>E$72*E$73*0.85</f>
        <v>6120</v>
      </c>
      <c r="F74" s="146">
        <f>F$72*F$73</f>
        <v>9000</v>
      </c>
      <c r="G74" s="146">
        <f t="shared" si="32"/>
        <v>3600</v>
      </c>
      <c r="H74" s="146">
        <f t="shared" si="32"/>
        <v>3600</v>
      </c>
      <c r="I74" s="146">
        <f>I$72*I$73</f>
        <v>9000</v>
      </c>
      <c r="J74" s="146">
        <f>J$72*J$73</f>
        <v>0</v>
      </c>
      <c r="K74" s="146">
        <f>K$72*K$73</f>
        <v>0</v>
      </c>
      <c r="O74" s="117"/>
      <c r="P74" s="117"/>
      <c r="Q74" s="117"/>
      <c r="R74" s="117"/>
    </row>
    <row r="75" spans="1:18" s="34" customFormat="1" x14ac:dyDescent="0.2">
      <c r="A75" s="146" t="s">
        <v>78</v>
      </c>
      <c r="B75" s="146">
        <v>6</v>
      </c>
      <c r="C75" s="149">
        <f>C$29</f>
        <v>0</v>
      </c>
      <c r="D75" s="149">
        <f>D$29</f>
        <v>0</v>
      </c>
      <c r="E75" s="149">
        <f>E$29</f>
        <v>0</v>
      </c>
      <c r="F75" s="149">
        <f>F$29</f>
        <v>0</v>
      </c>
      <c r="G75" s="149">
        <f t="shared" ref="G75:H75" si="33">G$29</f>
        <v>4</v>
      </c>
      <c r="H75" s="149">
        <f t="shared" si="33"/>
        <v>8</v>
      </c>
      <c r="I75" s="149">
        <f>I$29</f>
        <v>8</v>
      </c>
      <c r="J75" s="149">
        <f>J$29</f>
        <v>0</v>
      </c>
      <c r="K75" s="149">
        <f>K$29</f>
        <v>0</v>
      </c>
      <c r="L75" s="117"/>
      <c r="M75" s="117"/>
      <c r="N75" s="117"/>
      <c r="O75" s="118"/>
      <c r="P75" s="118"/>
      <c r="Q75" s="118"/>
      <c r="R75" s="118"/>
    </row>
    <row r="76" spans="1:18" s="34" customFormat="1" x14ac:dyDescent="0.2">
      <c r="A76" s="146" t="s">
        <v>79</v>
      </c>
      <c r="B76" s="146">
        <v>4000</v>
      </c>
      <c r="C76" s="150">
        <f>C$45</f>
        <v>4000</v>
      </c>
      <c r="D76" s="150">
        <f>D$45</f>
        <v>4000</v>
      </c>
      <c r="E76" s="150">
        <f>E$45</f>
        <v>4000</v>
      </c>
      <c r="F76" s="150">
        <f>F$45</f>
        <v>4000</v>
      </c>
      <c r="G76" s="150">
        <f t="shared" ref="G76:H76" si="34">G$45</f>
        <v>4000</v>
      </c>
      <c r="H76" s="150">
        <f t="shared" si="34"/>
        <v>4000</v>
      </c>
      <c r="I76" s="150">
        <f>I$45</f>
        <v>4000</v>
      </c>
      <c r="J76" s="150">
        <f>J$45</f>
        <v>4000</v>
      </c>
      <c r="K76" s="150">
        <f>K$45</f>
        <v>4000</v>
      </c>
      <c r="L76" s="118"/>
      <c r="M76" s="118"/>
      <c r="N76" s="118"/>
    </row>
    <row r="77" spans="1:18" s="34" customFormat="1" x14ac:dyDescent="0.2">
      <c r="A77" s="146" t="s">
        <v>80</v>
      </c>
      <c r="B77" s="146">
        <v>0</v>
      </c>
      <c r="C77" s="146">
        <v>0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</row>
    <row r="78" spans="1:18" s="34" customFormat="1" x14ac:dyDescent="0.2">
      <c r="A78" s="146" t="s">
        <v>81</v>
      </c>
      <c r="B78" s="146">
        <v>0</v>
      </c>
      <c r="C78" s="146">
        <v>0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0</v>
      </c>
    </row>
    <row r="79" spans="1:18" s="34" customFormat="1" x14ac:dyDescent="0.2">
      <c r="A79" s="146" t="s">
        <v>82</v>
      </c>
      <c r="B79" s="146">
        <v>10000</v>
      </c>
      <c r="C79" s="146">
        <v>0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</row>
    <row r="80" spans="1:18" s="34" customFormat="1" x14ac:dyDescent="0.2">
      <c r="A80" s="146" t="s">
        <v>83</v>
      </c>
      <c r="B80" s="146">
        <v>0</v>
      </c>
      <c r="C80" s="146">
        <v>0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</row>
    <row r="81" spans="1:11" s="34" customFormat="1" x14ac:dyDescent="0.2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</row>
    <row r="82" spans="1:11" s="34" customFormat="1" x14ac:dyDescent="0.2">
      <c r="A82" s="146" t="s">
        <v>84</v>
      </c>
      <c r="B82" s="146">
        <f>B$74*MIN(0.6,1/(1+6*B$74/(B$79+B$80+0.0001)))</f>
        <v>0</v>
      </c>
      <c r="C82" s="146">
        <f t="shared" ref="C82:H82" si="35">C$74*MIN(0.6,1/(1+6*C$74/(C$79+C$80+0.0001)))</f>
        <v>1.6666666589506171E-5</v>
      </c>
      <c r="D82" s="146">
        <f t="shared" si="35"/>
        <v>1.6666666628086421E-5</v>
      </c>
      <c r="E82" s="146">
        <f t="shared" si="35"/>
        <v>1.6666666621278143E-5</v>
      </c>
      <c r="F82" s="146">
        <f>F$74*MIN(0.6,1/(1+6*F$74/(F$79+F$80+0.0001)))</f>
        <v>1.6666666635802471E-5</v>
      </c>
      <c r="G82" s="146">
        <f t="shared" si="35"/>
        <v>1.6666666589506171E-5</v>
      </c>
      <c r="H82" s="146">
        <f t="shared" si="35"/>
        <v>1.6666666589506171E-5</v>
      </c>
      <c r="I82" s="146">
        <f>I$74*MIN(0.6,1/(1+6*I$74/(I$79+I$80+0.0001)))</f>
        <v>1.6666666635802471E-5</v>
      </c>
      <c r="J82" s="146">
        <f>J$74*MIN(0.6,1/(1+6*J$74/(J$79+J$80+0.0001)))</f>
        <v>0</v>
      </c>
      <c r="K82" s="146">
        <f>K$74*MIN(0.6,1/(1+6*K$74/(K$79+K$80+0.0001)))</f>
        <v>0</v>
      </c>
    </row>
    <row r="83" spans="1:11" s="34" customFormat="1" x14ac:dyDescent="0.2">
      <c r="A83" s="146" t="s">
        <v>85</v>
      </c>
      <c r="B83" s="146">
        <f>B$72*B$73/1025</f>
        <v>0</v>
      </c>
      <c r="C83" s="146">
        <f t="shared" ref="C83:H83" si="36">C$72*C$73/1025</f>
        <v>3.5121951219512195</v>
      </c>
      <c r="D83" s="146">
        <f t="shared" si="36"/>
        <v>7.024390243902439</v>
      </c>
      <c r="E83" s="146">
        <f t="shared" si="36"/>
        <v>7.024390243902439</v>
      </c>
      <c r="F83" s="146">
        <f>F$72*F$73/1025</f>
        <v>8.7804878048780495</v>
      </c>
      <c r="G83" s="146">
        <f t="shared" si="36"/>
        <v>3.5121951219512195</v>
      </c>
      <c r="H83" s="146">
        <f t="shared" si="36"/>
        <v>3.5121951219512195</v>
      </c>
      <c r="I83" s="146">
        <f>I$72*I$73/1025</f>
        <v>8.7804878048780495</v>
      </c>
      <c r="J83" s="146">
        <f>J$72*J$73/1025</f>
        <v>0</v>
      </c>
      <c r="K83" s="146">
        <f>K$72*K$73/1025</f>
        <v>0</v>
      </c>
    </row>
    <row r="84" spans="1:11" s="34" customFormat="1" x14ac:dyDescent="0.2">
      <c r="A84" s="146" t="s">
        <v>86</v>
      </c>
      <c r="B84" s="146">
        <f>0.05*B$77+0.5*B$78+B$82</f>
        <v>0</v>
      </c>
      <c r="C84" s="146">
        <f t="shared" ref="C84:H84" si="37">0.05*C$77+0.5*C$78+C$82</f>
        <v>1.6666666589506171E-5</v>
      </c>
      <c r="D84" s="146">
        <f t="shared" si="37"/>
        <v>1.6666666628086421E-5</v>
      </c>
      <c r="E84" s="146">
        <f t="shared" si="37"/>
        <v>1.6666666621278143E-5</v>
      </c>
      <c r="F84" s="146">
        <f>0.05*F$77+0.5*F$78+F$82</f>
        <v>1.6666666635802471E-5</v>
      </c>
      <c r="G84" s="146">
        <f t="shared" si="37"/>
        <v>1.6666666589506171E-5</v>
      </c>
      <c r="H84" s="146">
        <f t="shared" si="37"/>
        <v>1.6666666589506171E-5</v>
      </c>
      <c r="I84" s="146">
        <f>0.05*I$77+0.5*I$78+I$82</f>
        <v>1.6666666635802471E-5</v>
      </c>
      <c r="J84" s="146">
        <f>0.05*J$77+0.5*J$78+J$82</f>
        <v>0</v>
      </c>
      <c r="K84" s="146">
        <f>0.05*K$77+0.5*K$78+K$82</f>
        <v>0</v>
      </c>
    </row>
    <row r="85" spans="1:11" s="34" customFormat="1" x14ac:dyDescent="0.2">
      <c r="A85" s="146" t="s">
        <v>87</v>
      </c>
      <c r="B85" s="146">
        <f>B$76*0.49</f>
        <v>1960</v>
      </c>
      <c r="C85" s="146">
        <f t="shared" ref="C85:H85" si="38">C$76*0.49</f>
        <v>1960</v>
      </c>
      <c r="D85" s="146">
        <f t="shared" si="38"/>
        <v>1960</v>
      </c>
      <c r="E85" s="146">
        <f t="shared" si="38"/>
        <v>1960</v>
      </c>
      <c r="F85" s="146">
        <f>F$76*0.49</f>
        <v>1960</v>
      </c>
      <c r="G85" s="146">
        <f t="shared" si="38"/>
        <v>1960</v>
      </c>
      <c r="H85" s="146">
        <f t="shared" si="38"/>
        <v>1960</v>
      </c>
      <c r="I85" s="146">
        <f>I$76*0.49</f>
        <v>1960</v>
      </c>
      <c r="J85" s="146">
        <f>J$76*0.49</f>
        <v>1960</v>
      </c>
      <c r="K85" s="146">
        <f>K$76*0.49</f>
        <v>1960</v>
      </c>
    </row>
    <row r="86" spans="1:11" s="34" customFormat="1" x14ac:dyDescent="0.2">
      <c r="A86" s="146" t="s">
        <v>88</v>
      </c>
      <c r="B86" s="146">
        <f>MIN(1,(0.2+0.8*B$83/9))</f>
        <v>0.2</v>
      </c>
      <c r="C86" s="146">
        <f t="shared" ref="C86:H86" si="39">MIN(1,(0.2+0.8*C$83/9))</f>
        <v>0.51219512195121952</v>
      </c>
      <c r="D86" s="146">
        <f t="shared" si="39"/>
        <v>0.82439024390243909</v>
      </c>
      <c r="E86" s="146">
        <f t="shared" si="39"/>
        <v>0.82439024390243909</v>
      </c>
      <c r="F86" s="146">
        <f>MIN(1,(0.2+0.8*F$83/9))</f>
        <v>0.98048780487804899</v>
      </c>
      <c r="G86" s="146">
        <f t="shared" si="39"/>
        <v>0.51219512195121952</v>
      </c>
      <c r="H86" s="146">
        <f t="shared" si="39"/>
        <v>0.51219512195121952</v>
      </c>
      <c r="I86" s="146">
        <f>MIN(1,(0.2+0.8*I$83/9))</f>
        <v>0.98048780487804899</v>
      </c>
      <c r="J86" s="146">
        <f>MIN(1,(0.2+0.8*J$83/9))</f>
        <v>0.2</v>
      </c>
      <c r="K86" s="146">
        <f>MIN(1,(0.2+0.8*K$83/9))</f>
        <v>0.2</v>
      </c>
    </row>
    <row r="87" spans="1:11" s="34" customFormat="1" x14ac:dyDescent="0.2">
      <c r="A87" s="146" t="s">
        <v>89</v>
      </c>
      <c r="B87" s="146">
        <f>B$85+B$84*B$86</f>
        <v>1960</v>
      </c>
      <c r="C87" s="146">
        <f>C$85+C$84*C$86</f>
        <v>1960.0000085365853</v>
      </c>
      <c r="D87" s="146">
        <f>D$85+D$84*D$86</f>
        <v>1960.0000137398374</v>
      </c>
      <c r="E87" s="146">
        <f>E$85+E$84*E$86</f>
        <v>1960.0000137398374</v>
      </c>
      <c r="F87" s="146">
        <f>F$85+F$84*F$86</f>
        <v>1960.0000163414634</v>
      </c>
      <c r="G87" s="146">
        <f t="shared" ref="G87:H87" si="40">G$85+G$84*G$86</f>
        <v>1960.0000085365853</v>
      </c>
      <c r="H87" s="146">
        <f t="shared" si="40"/>
        <v>1960.0000085365853</v>
      </c>
      <c r="I87" s="146">
        <f>I$85+I$84*I$86</f>
        <v>1960.0000163414634</v>
      </c>
      <c r="J87" s="146">
        <f>J$85+J$84*J$86</f>
        <v>1960</v>
      </c>
      <c r="K87" s="146">
        <f>K$85+K$84*K$86</f>
        <v>1960</v>
      </c>
    </row>
    <row r="88" spans="1:11" s="34" customFormat="1" x14ac:dyDescent="0.2">
      <c r="A88" s="146" t="s">
        <v>90</v>
      </c>
      <c r="B88" s="146">
        <f>0.51*B$76+0.1*B$77+0.5*B$78</f>
        <v>2040</v>
      </c>
      <c r="C88" s="146">
        <f t="shared" ref="C88:H88" si="41">0.51*C$76+0.1*C$77+0.5*C$78</f>
        <v>2040</v>
      </c>
      <c r="D88" s="146">
        <f t="shared" si="41"/>
        <v>2040</v>
      </c>
      <c r="E88" s="146">
        <f t="shared" si="41"/>
        <v>2040</v>
      </c>
      <c r="F88" s="146">
        <f>0.51*F$76+0.1*F$77+0.5*F$78</f>
        <v>2040</v>
      </c>
      <c r="G88" s="146">
        <f t="shared" si="41"/>
        <v>2040</v>
      </c>
      <c r="H88" s="146">
        <f t="shared" si="41"/>
        <v>2040</v>
      </c>
      <c r="I88" s="146">
        <f>0.51*I$76+0.1*I$77+0.5*I$78</f>
        <v>2040</v>
      </c>
      <c r="J88" s="146">
        <f>0.51*J$76+0.1*J$77+0.5*J$78</f>
        <v>2040</v>
      </c>
      <c r="K88" s="146">
        <f>0.51*K$76+0.1*K$77+0.5*K$78</f>
        <v>2040</v>
      </c>
    </row>
    <row r="89" spans="1:11" s="34" customFormat="1" x14ac:dyDescent="0.2">
      <c r="A89" s="146" t="s">
        <v>91</v>
      </c>
      <c r="B89" s="146" t="e">
        <f>29.468*(B$75/B$83)/(29.468*B$75/B$83+1)*0.844*B$75/(B$88/1000+0.0000001)/(0.844*B$75/(B$88/1000+0.0000001)+1)</f>
        <v>#DIV/0!</v>
      </c>
      <c r="C89" s="146">
        <f t="shared" ref="C89:H89" si="42">29.468*(C$75/C$83)/(29.468*C$75/C$83+1)*0.844*C$75/(C$88/1000+0.0000001)/(0.844*C$75/(C$88/1000+0.0000001)+1)</f>
        <v>0</v>
      </c>
      <c r="D89" s="146">
        <f t="shared" si="42"/>
        <v>0</v>
      </c>
      <c r="E89" s="146">
        <f t="shared" si="42"/>
        <v>0</v>
      </c>
      <c r="F89" s="146">
        <f>29.468*(F$75/F$83)/(29.468*F$75/F$83+1)*0.844*F$75/(F$88/1000+0.0000001)/(0.844*F$75/(F$88/1000+0.0000001)+1)</f>
        <v>0</v>
      </c>
      <c r="G89" s="146">
        <f t="shared" si="42"/>
        <v>0.60530224384310904</v>
      </c>
      <c r="H89" s="146">
        <f t="shared" si="42"/>
        <v>0.75669733693217833</v>
      </c>
      <c r="I89" s="146">
        <f>29.468*(I$75/I$83)/(29.468*I$75/I$83+1)*0.844*I$75/(I$88/1000+0.0000001)/(0.844*I$75/(I$88/1000+0.0000001)+1)</f>
        <v>0.74039425383756785</v>
      </c>
      <c r="J89" s="146" t="e">
        <f>29.468*(J$75/J$83)/(29.468*J$75/J$83+1)*0.844*J$75/(J$88/1000+0.0000001)/(0.844*J$75/(J$88/1000+0.0000001)+1)</f>
        <v>#DIV/0!</v>
      </c>
      <c r="K89" s="146" t="e">
        <f>29.468*(K$75/K$83)/(29.468*K$75/K$83+1)*0.844*K$75/(K$88/1000+0.0000001)/(0.844*K$75/(K$88/1000+0.0000001)+1)</f>
        <v>#DIV/0!</v>
      </c>
    </row>
    <row r="90" spans="1:11" s="34" customFormat="1" x14ac:dyDescent="0.2">
      <c r="A90" s="146" t="s">
        <v>92</v>
      </c>
      <c r="B90" s="146" t="e">
        <f>MIN(1,1.05/(1+0.982*(B$74/MAX(1,B$87))^1.0378)+(B$89*2.305)/(1+1.961*(B$74/MAX(1,B$88))^0.947)-0.05/(1+(1-B$91)^2))</f>
        <v>#DIV/0!</v>
      </c>
      <c r="C90" s="146">
        <f t="shared" ref="C90:H90" si="43">MIN(1,1.05/(1+0.982*(C$74/MAX(1,C$87))^1.0378)+(C$89*2.305)/(1+1.961*(C$74/MAX(1,C$88))^0.947)-0.05/(1+(1-C$91)^2))</f>
        <v>0.31948726934688249</v>
      </c>
      <c r="D90" s="146">
        <f t="shared" si="43"/>
        <v>0.18874200106920744</v>
      </c>
      <c r="E90" s="146">
        <f t="shared" si="43"/>
        <v>0.21088734638010159</v>
      </c>
      <c r="F90" s="146">
        <f>MIN(1,1.05/(1+0.982*(F$74/MAX(1,F$87))^1.0378)+(F$89*2.305)/(1+1.961*(F$74/MAX(1,F$88))^0.947)-0.05/(1+(1-F$91)^2))</f>
        <v>0.16224417913596745</v>
      </c>
      <c r="G90" s="146">
        <f t="shared" si="43"/>
        <v>0.6396415970685424</v>
      </c>
      <c r="H90" s="146">
        <f t="shared" si="43"/>
        <v>0.7197169556869919</v>
      </c>
      <c r="I90" s="146">
        <f>MIN(1,1.05/(1+0.982*(I$74/MAX(1,I$87))^1.0378)+(I$89*2.305)/(1+1.961*(I$74/MAX(1,I$88))^0.947)-0.05/(1+(1-I$91)^2))</f>
        <v>0.35193122972708696</v>
      </c>
      <c r="J90" s="146" t="e">
        <f>MIN(1,1.05/(1+0.982*(J$74/MAX(1,J$87))^1.0378)+(J$89*2.305)/(1+1.961*(J$74/MAX(1,J$88))^0.947)-0.05/(1+(1-J$91)^2))</f>
        <v>#DIV/0!</v>
      </c>
      <c r="K90" s="146" t="e">
        <f>MIN(1,1.05/(1+0.982*(K$74/MAX(1,K$87))^1.0378)+(K$89*2.305)/(1+1.961*(K$74/MAX(1,K$88))^0.947)-0.05/(1+(1-K$91)^2))</f>
        <v>#DIV/0!</v>
      </c>
    </row>
    <row r="91" spans="1:11" s="34" customFormat="1" x14ac:dyDescent="0.2">
      <c r="A91" s="146" t="s">
        <v>93</v>
      </c>
      <c r="B91" s="146">
        <f>B$74/(B$76+1)</f>
        <v>0</v>
      </c>
      <c r="C91" s="146">
        <f t="shared" ref="C91:H91" si="44">C$74/(C$76+1)</f>
        <v>0.89977505623594101</v>
      </c>
      <c r="D91" s="146">
        <f t="shared" si="44"/>
        <v>1.799550112471882</v>
      </c>
      <c r="E91" s="146">
        <f t="shared" si="44"/>
        <v>1.5296175956010998</v>
      </c>
      <c r="F91" s="146">
        <f>F$74/(F$76+1)</f>
        <v>2.2494376405898526</v>
      </c>
      <c r="G91" s="146">
        <f t="shared" si="44"/>
        <v>0.89977505623594101</v>
      </c>
      <c r="H91" s="146">
        <f t="shared" si="44"/>
        <v>0.89977505623594101</v>
      </c>
      <c r="I91" s="146">
        <f>I$74/(I$76+1)</f>
        <v>2.2494376405898526</v>
      </c>
      <c r="J91" s="146">
        <f>J$74/(J$76+1)</f>
        <v>0</v>
      </c>
      <c r="K91" s="146">
        <f>K$74/(K$76+1)</f>
        <v>0</v>
      </c>
    </row>
    <row r="92" spans="1:11" s="34" customFormat="1" x14ac:dyDescent="0.2">
      <c r="A92" s="146" t="s">
        <v>94</v>
      </c>
      <c r="B92" s="146" t="e">
        <f>MIN(1,1.05/(1+0.982*(B$74/MAX(1,B$87))^1.0378)+0*(B$89*2.305)/(1+1.961*(B$74/MAX(1,B$88))^0.947)-0.05/(1+(1-B$91)^2))</f>
        <v>#DIV/0!</v>
      </c>
      <c r="C92" s="146">
        <f t="shared" ref="C92:H92" si="45">MIN(1,1.05/(1+0.982*(C$74/MAX(1,C$87))^1.0378)+0*(C$89*2.305)/(1+1.961*(C$74/MAX(1,C$88))^0.947)-0.05/(1+(1-C$91)^2))</f>
        <v>0.31948726934688249</v>
      </c>
      <c r="D92" s="146">
        <f t="shared" si="45"/>
        <v>0.18874200106920744</v>
      </c>
      <c r="E92" s="146">
        <f t="shared" si="45"/>
        <v>0.21088734638010159</v>
      </c>
      <c r="F92" s="146">
        <f>MIN(1,1.05/(1+0.982*(F$74/MAX(1,F$87))^1.0378)+0*(F$89*2.305)/(1+1.961*(F$74/MAX(1,F$88))^0.947)-0.05/(1+(1-F$91)^2))</f>
        <v>0.16224417913596745</v>
      </c>
      <c r="G92" s="146">
        <f t="shared" si="45"/>
        <v>0.31948726934688249</v>
      </c>
      <c r="H92" s="146">
        <f t="shared" si="45"/>
        <v>0.31948726934688249</v>
      </c>
      <c r="I92" s="146">
        <f>MIN(1,1.05/(1+0.982*(I$74/MAX(1,I$87))^1.0378)+0*(I$89*2.305)/(1+1.961*(I$74/MAX(1,I$88))^0.947)-0.05/(1+(1-I$91)^2))</f>
        <v>0.16224417913596745</v>
      </c>
      <c r="J92" s="146" t="e">
        <f>MIN(1,1.05/(1+0.982*(J$74/MAX(1,J$87))^1.0378)+0*(J$89*2.305)/(1+1.961*(J$74/MAX(1,J$88))^0.947)-0.05/(1+(1-J$91)^2))</f>
        <v>#DIV/0!</v>
      </c>
      <c r="K92" s="146" t="e">
        <f>MIN(1,1.05/(1+0.982*(K$74/MAX(1,K$87))^1.0378)+0*(K$89*2.305)/(1+1.961*(K$74/MAX(1,K$88))^0.947)-0.05/(1+(1-K$91)^2))</f>
        <v>#DIV/0!</v>
      </c>
    </row>
    <row r="93" spans="1:11" s="34" customFormat="1" x14ac:dyDescent="0.2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</row>
    <row r="94" spans="1:11" s="34" customFormat="1" x14ac:dyDescent="0.2">
      <c r="A94" s="146" t="s">
        <v>95</v>
      </c>
      <c r="B94" s="146">
        <v>0.2</v>
      </c>
      <c r="C94" s="146">
        <v>0.2</v>
      </c>
      <c r="D94" s="146">
        <v>0.2</v>
      </c>
      <c r="E94" s="146">
        <v>0.2</v>
      </c>
      <c r="F94" s="146">
        <v>0.2</v>
      </c>
      <c r="G94" s="146">
        <v>0.2</v>
      </c>
      <c r="H94" s="146">
        <v>0.2</v>
      </c>
      <c r="I94" s="146">
        <v>0.2</v>
      </c>
      <c r="J94" s="146">
        <v>0.2</v>
      </c>
      <c r="K94" s="146">
        <v>0.2</v>
      </c>
    </row>
    <row r="95" spans="1:11" s="34" customFormat="1" x14ac:dyDescent="0.2">
      <c r="A95" s="146" t="s">
        <v>96</v>
      </c>
      <c r="B95" s="146" t="e">
        <f>(B$90-B$92)*B$74</f>
        <v>#DIV/0!</v>
      </c>
      <c r="C95" s="146">
        <f t="shared" ref="C95:H95" si="46">(C$90-C$92)*C$74</f>
        <v>0</v>
      </c>
      <c r="D95" s="146">
        <f t="shared" si="46"/>
        <v>0</v>
      </c>
      <c r="E95" s="146">
        <f t="shared" si="46"/>
        <v>0</v>
      </c>
      <c r="F95" s="146">
        <f>(F$90-F$92)*F$74</f>
        <v>0</v>
      </c>
      <c r="G95" s="146">
        <f t="shared" si="46"/>
        <v>1152.5555797979757</v>
      </c>
      <c r="H95" s="146">
        <f t="shared" si="46"/>
        <v>1440.8268708243938</v>
      </c>
      <c r="I95" s="146">
        <f>(I$90-I$92)*I$74</f>
        <v>1707.1834553200756</v>
      </c>
      <c r="J95" s="146" t="e">
        <f>(J$90-J$92)*J$74</f>
        <v>#DIV/0!</v>
      </c>
      <c r="K95" s="146" t="e">
        <f>(K$90-K$92)*K$74</f>
        <v>#DIV/0!</v>
      </c>
    </row>
    <row r="96" spans="1:11" s="34" customFormat="1" x14ac:dyDescent="0.2">
      <c r="A96" s="146" t="s">
        <v>97</v>
      </c>
      <c r="B96" s="146" t="e">
        <f>B$94*B$95</f>
        <v>#DIV/0!</v>
      </c>
      <c r="C96" s="146">
        <f t="shared" ref="C96:H96" si="47">C$94*C$95</f>
        <v>0</v>
      </c>
      <c r="D96" s="146">
        <f t="shared" si="47"/>
        <v>0</v>
      </c>
      <c r="E96" s="146">
        <f t="shared" si="47"/>
        <v>0</v>
      </c>
      <c r="F96" s="146">
        <f>F$94*F$95</f>
        <v>0</v>
      </c>
      <c r="G96" s="146">
        <f t="shared" si="47"/>
        <v>230.51111595959514</v>
      </c>
      <c r="H96" s="146">
        <f t="shared" si="47"/>
        <v>288.16537416487876</v>
      </c>
      <c r="I96" s="146">
        <f>I$94*I$95</f>
        <v>341.43669106401512</v>
      </c>
      <c r="J96" s="146" t="e">
        <f>J$94*J$95</f>
        <v>#DIV/0!</v>
      </c>
      <c r="K96" s="146" t="e">
        <f>K$94*K$95</f>
        <v>#DIV/0!</v>
      </c>
    </row>
    <row r="97" spans="1:14" s="34" customFormat="1" x14ac:dyDescent="0.2">
      <c r="A97" s="146" t="s">
        <v>98</v>
      </c>
      <c r="B97" s="146" t="e">
        <f>B$90*B$74-B$96</f>
        <v>#DIV/0!</v>
      </c>
      <c r="C97" s="146">
        <f t="shared" ref="C97:H97" si="48">C$90*C$74-C$96</f>
        <v>1150.154169648777</v>
      </c>
      <c r="D97" s="146">
        <f t="shared" si="48"/>
        <v>1358.9424076982937</v>
      </c>
      <c r="E97" s="146">
        <f t="shared" si="48"/>
        <v>1290.6305598462218</v>
      </c>
      <c r="F97" s="146">
        <f>F$90*F$74-F$96</f>
        <v>1460.197612223707</v>
      </c>
      <c r="G97" s="146">
        <f t="shared" si="48"/>
        <v>2072.1986334871572</v>
      </c>
      <c r="H97" s="146">
        <f t="shared" si="48"/>
        <v>2302.8156663082918</v>
      </c>
      <c r="I97" s="146">
        <f>I$90*I$74-I$96</f>
        <v>2825.9443764797675</v>
      </c>
      <c r="J97" s="146" t="e">
        <f>J$90*J$74-J$96</f>
        <v>#DIV/0!</v>
      </c>
      <c r="K97" s="146" t="e">
        <f>K$90*K$74-K$96</f>
        <v>#DIV/0!</v>
      </c>
    </row>
    <row r="98" spans="1:14" s="34" customFormat="1" x14ac:dyDescent="0.2"/>
    <row r="99" spans="1:14" s="34" customFormat="1" x14ac:dyDescent="0.2"/>
    <row r="100" spans="1:14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</sheetData>
  <sheetProtection algorithmName="SHA-512" hashValue="pScOKoSlOUp+/4XChxos6juvLxp9EcE2Eg+6L/IXenKTaGg5RXCsmdM17aCrMW1LjhmQZQ6Rlor/FkdbGc5HkA==" saltValue="KMj0UZzMWx3EW3O7zHnR0Q==" spinCount="100000" sheet="1" objects="1" scenarios="1" selectLockedCells="1"/>
  <conditionalFormatting sqref="B6">
    <cfRule type="cellIs" dxfId="20" priority="12" operator="notBetween">
      <formula>0</formula>
      <formula>120</formula>
    </cfRule>
  </conditionalFormatting>
  <conditionalFormatting sqref="B10">
    <cfRule type="cellIs" dxfId="19" priority="11" operator="notBetween">
      <formula>10</formula>
      <formula>100</formula>
    </cfRule>
  </conditionalFormatting>
  <conditionalFormatting sqref="B11">
    <cfRule type="cellIs" dxfId="18" priority="10" operator="notBetween">
      <formula>0</formula>
      <formula>20</formula>
    </cfRule>
  </conditionalFormatting>
  <conditionalFormatting sqref="B12:B13 B15">
    <cfRule type="cellIs" dxfId="17" priority="16" operator="notBetween">
      <formula>0</formula>
      <formula>100</formula>
    </cfRule>
  </conditionalFormatting>
  <conditionalFormatting sqref="B17">
    <cfRule type="cellIs" dxfId="16" priority="9" operator="notBetween">
      <formula>0</formula>
      <formula>100</formula>
    </cfRule>
  </conditionalFormatting>
  <conditionalFormatting sqref="B57">
    <cfRule type="expression" dxfId="15" priority="28">
      <formula>OR(IF(B$44&gt;0,B$57&lt;=10,B$57&gt;30),B$57&lt;0)</formula>
    </cfRule>
    <cfRule type="expression" dxfId="14" priority="29" stopIfTrue="1">
      <formula>B$44&lt;0</formula>
    </cfRule>
  </conditionalFormatting>
  <conditionalFormatting sqref="B44:K44">
    <cfRule type="cellIs" dxfId="13" priority="23" operator="lessThan">
      <formula>0</formula>
    </cfRule>
    <cfRule type="cellIs" dxfId="12" priority="27" stopIfTrue="1" operator="lessThanOrEqual">
      <formula>5000</formula>
    </cfRule>
  </conditionalFormatting>
  <conditionalFormatting sqref="B55:K55">
    <cfRule type="cellIs" dxfId="11" priority="21" operator="greaterThan">
      <formula>"B50"</formula>
    </cfRule>
    <cfRule type="cellIs" dxfId="10" priority="22" operator="lessThanOrEqual">
      <formula>500</formula>
    </cfRule>
  </conditionalFormatting>
  <conditionalFormatting sqref="B56:K56">
    <cfRule type="cellIs" dxfId="9" priority="26" stopIfTrue="1" operator="greaterThanOrEqual">
      <formula>5000</formula>
    </cfRule>
  </conditionalFormatting>
  <conditionalFormatting sqref="B58:K58">
    <cfRule type="cellIs" dxfId="8" priority="13" stopIfTrue="1" operator="greaterThan">
      <formula>$B$58</formula>
    </cfRule>
    <cfRule type="cellIs" dxfId="7" priority="14" stopIfTrue="1" operator="lessThanOrEqual">
      <formula>0.5</formula>
    </cfRule>
  </conditionalFormatting>
  <conditionalFormatting sqref="B59:K59">
    <cfRule type="cellIs" dxfId="6" priority="25" stopIfTrue="1" operator="greaterThanOrEqual">
      <formula>0.5</formula>
    </cfRule>
  </conditionalFormatting>
  <conditionalFormatting sqref="C57:K57">
    <cfRule type="expression" dxfId="5" priority="5">
      <formula>OR(IF(C$44&gt;0,C$57&lt;=10,C$57&gt;30),C$57="sofort")</formula>
    </cfRule>
    <cfRule type="expression" dxfId="4" priority="6" stopIfTrue="1">
      <formula>C$44&lt;0</formula>
    </cfRule>
  </conditionalFormatting>
  <conditionalFormatting sqref="B66">
    <cfRule type="cellIs" dxfId="3" priority="4" stopIfTrue="1" operator="notBetween">
      <formula>60</formula>
      <formula>140</formula>
    </cfRule>
  </conditionalFormatting>
  <conditionalFormatting sqref="B5">
    <cfRule type="cellIs" dxfId="2" priority="3" operator="notBetween">
      <formula>400</formula>
      <formula>1400</formula>
    </cfRule>
  </conditionalFormatting>
  <conditionalFormatting sqref="B7">
    <cfRule type="cellIs" dxfId="1" priority="2" operator="notBetween">
      <formula>0</formula>
      <formula>100</formula>
    </cfRule>
  </conditionalFormatting>
  <conditionalFormatting sqref="B8">
    <cfRule type="cellIs" dxfId="0" priority="1" operator="notBetween">
      <formula>0</formula>
      <formula>100</formula>
    </cfRule>
  </conditionalFormatting>
  <pageMargins left="0.39370078740157483" right="0.39370078740157483" top="0.59055118110236227" bottom="0.59055118110236227" header="0.51181102362204722" footer="0.51181102362204722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Haustechnikvarianten gesamt</vt:lpstr>
      <vt:lpstr>Haustechnikvarianten berechnen</vt:lpstr>
      <vt:lpstr>'Haustechnikvarianten berechnen'!Druckbereich</vt:lpstr>
      <vt:lpstr>'Haustechnikvarianten gesamt'!Druckbereich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2023-08-17T15:25:41Z</cp:lastPrinted>
  <dcterms:created xsi:type="dcterms:W3CDTF">2017-07-13T22:33:43Z</dcterms:created>
  <dcterms:modified xsi:type="dcterms:W3CDTF">2024-02-17T23:43:03Z</dcterms:modified>
</cp:coreProperties>
</file>